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F:\IDIPRON\MAPAS DE RIESGOS\PRIMER SEGUIMIENTO 2026\CONSOLIDADOS\GESTION\"/>
    </mc:Choice>
  </mc:AlternateContent>
  <xr:revisionPtr revIDLastSave="0" documentId="13_ncr:1_{4C2D7B2A-484A-4B11-ADB6-CB3ED727FF41}" xr6:coauthVersionLast="47" xr6:coauthVersionMax="47" xr10:uidLastSave="{00000000-0000-0000-0000-000000000000}"/>
  <bookViews>
    <workbookView xWindow="-108" yWindow="-108" windowWidth="23256" windowHeight="12456" tabRatio="789" firstSheet="15" activeTab="19" xr2:uid="{E9951750-6718-4E65-99C4-7D8C6E70D595}"/>
  </bookViews>
  <sheets>
    <sheet name="DESARROLLO HUMANO R1 " sheetId="8" r:id="rId1"/>
    <sheet name="DESARROLLO HUMANO R2" sheetId="7" r:id="rId2"/>
    <sheet name="DESARROLLO HUMANO R3" sheetId="9" r:id="rId3"/>
    <sheet name="AMBIENTAL R1" sheetId="11" r:id="rId4"/>
    <sheet name="AMBIENTAL R2" sheetId="12" r:id="rId5"/>
    <sheet name="AMBIENTAL R3" sheetId="13" r:id="rId6"/>
    <sheet name="JURIDICA R1" sheetId="14" r:id="rId7"/>
    <sheet name="JURIDICA R2" sheetId="15" r:id="rId8"/>
    <sheet name="FINANCIERA R1" sheetId="16" r:id="rId9"/>
    <sheet name="FINANCIERA R2" sheetId="17" r:id="rId10"/>
    <sheet name="CONTRACTUAL R1" sheetId="18" r:id="rId11"/>
    <sheet name="CONTRACTUAL R2" sheetId="19" r:id="rId12"/>
    <sheet name="INVENTARIOS Y ALMACEN R1" sheetId="20" r:id="rId13"/>
    <sheet name="INVENTARIOS Y ALMACEN R2" sheetId="21" r:id="rId14"/>
    <sheet name="DOCUMENTAL R1" sheetId="22" r:id="rId15"/>
    <sheet name="DOCUMENTAL R2" sheetId="23" r:id="rId16"/>
    <sheet name="DOCUMENTAL R3" sheetId="24" r:id="rId17"/>
    <sheet name="S ADMINISTRATIVOS R1" sheetId="25" r:id="rId18"/>
    <sheet name="S ADMINISTRATIVOS R2" sheetId="26" r:id="rId19"/>
    <sheet name="ADECUACION Y MANTENIMIENTO R1" sheetId="27" r:id="rId20"/>
  </sheets>
  <externalReferences>
    <externalReference r:id="rId21"/>
    <externalReference r:id="rId22"/>
    <externalReference r:id="rId23"/>
    <externalReference r:id="rId24"/>
    <externalReference r:id="rId25"/>
    <externalReference r:id="rId26"/>
    <externalReference r:id="rId27"/>
    <externalReference r:id="rId28"/>
  </externalReferences>
  <definedNames>
    <definedName name="_xlnm.Print_Area" localSheetId="19">'ADECUACION Y MANTENIMIENTO R1'!$A$1:$BB$24</definedName>
    <definedName name="_xlnm.Print_Area" localSheetId="3">'AMBIENTAL R1'!$A$1:$BB$25</definedName>
    <definedName name="_xlnm.Print_Area" localSheetId="4">'AMBIENTAL R2'!$A$1:$BB$20</definedName>
    <definedName name="_xlnm.Print_Area" localSheetId="5">'AMBIENTAL R3'!$A$1:$BB$22</definedName>
    <definedName name="_xlnm.Print_Area" localSheetId="10">'CONTRACTUAL R1'!$A$1:$BB$21</definedName>
    <definedName name="_xlnm.Print_Area" localSheetId="11">'CONTRACTUAL R2'!$A$1:$BB$19</definedName>
    <definedName name="_xlnm.Print_Area" localSheetId="0">'DESARROLLO HUMANO R1 '!$A$1:$BB$20</definedName>
    <definedName name="_xlnm.Print_Area" localSheetId="1">'DESARROLLO HUMANO R2'!$A$1:$BB$19</definedName>
    <definedName name="_xlnm.Print_Area" localSheetId="2">'DESARROLLO HUMANO R3'!$A$1:$BB$19</definedName>
    <definedName name="_xlnm.Print_Area" localSheetId="14">'DOCUMENTAL R1'!$A$1:$BB$21</definedName>
    <definedName name="_xlnm.Print_Area" localSheetId="15">'DOCUMENTAL R2'!$A$1:$BB$23</definedName>
    <definedName name="_xlnm.Print_Area" localSheetId="16">'DOCUMENTAL R3'!$A$1:$BB$19</definedName>
    <definedName name="_xlnm.Print_Area" localSheetId="8">'FINANCIERA R1'!$A$1:$BB$25</definedName>
    <definedName name="_xlnm.Print_Area" localSheetId="9">'FINANCIERA R2'!$A$1:$BB$20</definedName>
    <definedName name="_xlnm.Print_Area" localSheetId="12">'INVENTARIOS Y ALMACEN R1'!$A$1:$BB$23</definedName>
    <definedName name="_xlnm.Print_Area" localSheetId="13">'INVENTARIOS Y ALMACEN R2'!$A$1:$BB$22</definedName>
    <definedName name="_xlnm.Print_Area" localSheetId="6">'JURIDICA R1'!$A$1:$BB$23</definedName>
    <definedName name="_xlnm.Print_Area" localSheetId="7">'JURIDICA R2'!$A$1:$BB$19</definedName>
    <definedName name="_xlnm.Print_Area" localSheetId="17">'S ADMINISTRATIVOS R1'!$A$1:$BB$23</definedName>
    <definedName name="_xlnm.Print_Area" localSheetId="18">'S ADMINISTRATIVOS R2'!$A$1:$BB$22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1" i="27" l="1"/>
  <c r="X22" i="27"/>
  <c r="X20" i="27"/>
  <c r="X19" i="27"/>
  <c r="X18" i="27"/>
  <c r="X17" i="27"/>
  <c r="H17" i="27"/>
  <c r="I17" i="27"/>
  <c r="AA17" i="27"/>
  <c r="AI17" i="27"/>
  <c r="AA18" i="27"/>
  <c r="AG18" i="27"/>
  <c r="AI18" i="27"/>
  <c r="AA19" i="27"/>
  <c r="AG19" i="27"/>
  <c r="AI19" i="27"/>
  <c r="AG20" i="27"/>
  <c r="AI20" i="27"/>
  <c r="AG21" i="27"/>
  <c r="AI21" i="27"/>
  <c r="AG22" i="27"/>
  <c r="AH22" i="27"/>
  <c r="K17" i="27"/>
  <c r="L17" i="27"/>
  <c r="M17" i="27"/>
  <c r="AA20" i="27"/>
  <c r="AK20" i="27"/>
  <c r="AA21" i="27"/>
  <c r="AK21" i="27"/>
  <c r="AA22" i="27"/>
  <c r="AK22" i="27"/>
  <c r="AJ22" i="27"/>
  <c r="AL22" i="27"/>
  <c r="AM22" i="27"/>
  <c r="AI22" i="27"/>
  <c r="AF22" i="27"/>
  <c r="AH21" i="27"/>
  <c r="AJ21" i="27"/>
  <c r="AL21" i="27"/>
  <c r="AM21" i="27"/>
  <c r="AF21" i="27"/>
  <c r="AH20" i="27"/>
  <c r="AJ20" i="27"/>
  <c r="AL20" i="27"/>
  <c r="AM20" i="27"/>
  <c r="AF20" i="27"/>
  <c r="AH19" i="27"/>
  <c r="AK17" i="27"/>
  <c r="AK18" i="27"/>
  <c r="AK19" i="27"/>
  <c r="AJ19" i="27"/>
  <c r="AL19" i="27"/>
  <c r="AM19" i="27"/>
  <c r="AF19" i="27"/>
  <c r="AH18" i="27"/>
  <c r="AJ18" i="27"/>
  <c r="AL18" i="27"/>
  <c r="AM18" i="27"/>
  <c r="AF18" i="27"/>
  <c r="AG17" i="27"/>
  <c r="AH17" i="27"/>
  <c r="AJ17" i="27"/>
  <c r="AL17" i="27"/>
  <c r="AM17" i="27"/>
  <c r="AF17" i="27"/>
  <c r="N17" i="27"/>
  <c r="O17" i="27"/>
  <c r="X19" i="26"/>
  <c r="X20" i="26"/>
  <c r="X18" i="26"/>
  <c r="X17" i="26"/>
  <c r="H17" i="26"/>
  <c r="I17" i="26"/>
  <c r="AA17" i="26"/>
  <c r="AI17" i="26"/>
  <c r="AA18" i="26"/>
  <c r="AG18" i="26"/>
  <c r="AI18" i="26"/>
  <c r="AG19" i="26"/>
  <c r="AI19" i="26"/>
  <c r="AG20" i="26"/>
  <c r="AH20" i="26"/>
  <c r="K17" i="26"/>
  <c r="L17" i="26"/>
  <c r="M17" i="26"/>
  <c r="AA19" i="26"/>
  <c r="AK19" i="26"/>
  <c r="AA20" i="26"/>
  <c r="AK20" i="26"/>
  <c r="AJ20" i="26"/>
  <c r="AL20" i="26"/>
  <c r="AM20" i="26"/>
  <c r="AI20" i="26"/>
  <c r="AF20" i="26"/>
  <c r="AH19" i="26"/>
  <c r="AJ19" i="26"/>
  <c r="AL19" i="26"/>
  <c r="AM19" i="26"/>
  <c r="AF19" i="26"/>
  <c r="AH18" i="26"/>
  <c r="AK17" i="26"/>
  <c r="AK18" i="26"/>
  <c r="AJ18" i="26"/>
  <c r="AL18" i="26"/>
  <c r="AM18" i="26"/>
  <c r="AF18" i="26"/>
  <c r="AG17" i="26"/>
  <c r="AH17" i="26"/>
  <c r="AJ17" i="26"/>
  <c r="AL17" i="26"/>
  <c r="AM17" i="26"/>
  <c r="AF17" i="26"/>
  <c r="N17" i="26"/>
  <c r="O17" i="26"/>
  <c r="X20" i="25"/>
  <c r="X21" i="25"/>
  <c r="X19" i="25"/>
  <c r="X18" i="25"/>
  <c r="X17" i="25"/>
  <c r="H17" i="25"/>
  <c r="I17" i="25"/>
  <c r="AA17" i="25"/>
  <c r="AI17" i="25"/>
  <c r="AA18" i="25"/>
  <c r="AG18" i="25"/>
  <c r="AI18" i="25"/>
  <c r="AA19" i="25"/>
  <c r="AG19" i="25"/>
  <c r="AI19" i="25"/>
  <c r="AA20" i="25"/>
  <c r="AG20" i="25"/>
  <c r="AI20" i="25"/>
  <c r="AG21" i="25"/>
  <c r="AH21" i="25"/>
  <c r="K17" i="25"/>
  <c r="L17" i="25"/>
  <c r="M17" i="25"/>
  <c r="AA21" i="25"/>
  <c r="AK21" i="25"/>
  <c r="AJ21" i="25"/>
  <c r="AL21" i="25"/>
  <c r="AM21" i="25"/>
  <c r="AI21" i="25"/>
  <c r="AF21" i="25"/>
  <c r="AH20" i="25"/>
  <c r="AK17" i="25"/>
  <c r="AK18" i="25"/>
  <c r="AK19" i="25"/>
  <c r="AK20" i="25"/>
  <c r="AJ20" i="25"/>
  <c r="AL20" i="25"/>
  <c r="AM20" i="25"/>
  <c r="AF20" i="25"/>
  <c r="AH19" i="25"/>
  <c r="AJ19" i="25"/>
  <c r="AL19" i="25"/>
  <c r="AM19" i="25"/>
  <c r="AF19" i="25"/>
  <c r="AH18" i="25"/>
  <c r="AJ18" i="25"/>
  <c r="AL18" i="25"/>
  <c r="AM18" i="25"/>
  <c r="AF18" i="25"/>
  <c r="AG17" i="25"/>
  <c r="AH17" i="25"/>
  <c r="AJ17" i="25"/>
  <c r="AL17" i="25"/>
  <c r="AM17" i="25"/>
  <c r="N17" i="25"/>
  <c r="O17" i="25"/>
  <c r="X17" i="24"/>
  <c r="H17" i="24"/>
  <c r="I17" i="24"/>
  <c r="AA17" i="24"/>
  <c r="AG17" i="24"/>
  <c r="AH17" i="24"/>
  <c r="K17" i="24"/>
  <c r="L17" i="24"/>
  <c r="M17" i="24"/>
  <c r="AK17" i="24"/>
  <c r="AJ17" i="24"/>
  <c r="AL17" i="24"/>
  <c r="AM17" i="24"/>
  <c r="AI17" i="24"/>
  <c r="AF17" i="24"/>
  <c r="N17" i="24"/>
  <c r="O17" i="24"/>
  <c r="X20" i="23"/>
  <c r="X21" i="23"/>
  <c r="X19" i="23"/>
  <c r="X18" i="23"/>
  <c r="X17" i="23"/>
  <c r="H17" i="23"/>
  <c r="I17" i="23"/>
  <c r="AA17" i="23"/>
  <c r="AI17" i="23"/>
  <c r="AA18" i="23"/>
  <c r="AG18" i="23"/>
  <c r="AI18" i="23"/>
  <c r="AA19" i="23"/>
  <c r="AG19" i="23"/>
  <c r="AI19" i="23"/>
  <c r="AA20" i="23"/>
  <c r="AG20" i="23"/>
  <c r="AI20" i="23"/>
  <c r="AG21" i="23"/>
  <c r="AH21" i="23"/>
  <c r="K17" i="23"/>
  <c r="L17" i="23"/>
  <c r="M17" i="23"/>
  <c r="AA21" i="23"/>
  <c r="AK21" i="23"/>
  <c r="AJ21" i="23"/>
  <c r="AL21" i="23"/>
  <c r="AI21" i="23"/>
  <c r="AF21" i="23"/>
  <c r="AH20" i="23"/>
  <c r="AK17" i="23"/>
  <c r="AK18" i="23"/>
  <c r="AK19" i="23"/>
  <c r="AK20" i="23"/>
  <c r="AJ20" i="23"/>
  <c r="AL20" i="23"/>
  <c r="AF20" i="23"/>
  <c r="AH19" i="23"/>
  <c r="AJ19" i="23"/>
  <c r="AL19" i="23"/>
  <c r="AF19" i="23"/>
  <c r="AH18" i="23"/>
  <c r="AJ18" i="23"/>
  <c r="AL18" i="23"/>
  <c r="AF18" i="23"/>
  <c r="AG17" i="23"/>
  <c r="AH17" i="23"/>
  <c r="AJ17" i="23"/>
  <c r="AL17" i="23"/>
  <c r="AF17" i="23"/>
  <c r="N17" i="23"/>
  <c r="O17" i="23"/>
  <c r="X18" i="22"/>
  <c r="X19" i="22"/>
  <c r="X17" i="22"/>
  <c r="H17" i="22"/>
  <c r="I17" i="22"/>
  <c r="AA17" i="22"/>
  <c r="AI17" i="22"/>
  <c r="AA18" i="22"/>
  <c r="AG18" i="22"/>
  <c r="AI18" i="22"/>
  <c r="AG19" i="22"/>
  <c r="AH19" i="22"/>
  <c r="K17" i="22"/>
  <c r="L17" i="22"/>
  <c r="M17" i="22"/>
  <c r="AA19" i="22"/>
  <c r="AK19" i="22"/>
  <c r="AJ19" i="22"/>
  <c r="AL19" i="22"/>
  <c r="AM19" i="22"/>
  <c r="AI19" i="22"/>
  <c r="AH18" i="22"/>
  <c r="AK17" i="22"/>
  <c r="AK18" i="22"/>
  <c r="AJ18" i="22"/>
  <c r="AL18" i="22"/>
  <c r="AM18" i="22"/>
  <c r="AG17" i="22"/>
  <c r="AH17" i="22"/>
  <c r="AJ17" i="22"/>
  <c r="AL17" i="22"/>
  <c r="AM17" i="22"/>
  <c r="N17" i="22"/>
  <c r="O17" i="22"/>
  <c r="X19" i="21"/>
  <c r="X20" i="21"/>
  <c r="X18" i="21"/>
  <c r="X17" i="21"/>
  <c r="H17" i="21"/>
  <c r="I17" i="21"/>
  <c r="AA17" i="21"/>
  <c r="AI17" i="21"/>
  <c r="AA18" i="21"/>
  <c r="AG18" i="21"/>
  <c r="AI18" i="21"/>
  <c r="AA19" i="21"/>
  <c r="AG19" i="21"/>
  <c r="AI19" i="21"/>
  <c r="AG20" i="21"/>
  <c r="AH20" i="21"/>
  <c r="K17" i="21"/>
  <c r="L17" i="21"/>
  <c r="M17" i="21"/>
  <c r="AA20" i="21"/>
  <c r="AK20" i="21"/>
  <c r="AJ20" i="21"/>
  <c r="AL20" i="21"/>
  <c r="AM20" i="21"/>
  <c r="AI20" i="21"/>
  <c r="AF20" i="21"/>
  <c r="AH19" i="21"/>
  <c r="AK17" i="21"/>
  <c r="AK18" i="21"/>
  <c r="AK19" i="21"/>
  <c r="AJ19" i="21"/>
  <c r="AL19" i="21"/>
  <c r="AM19" i="21"/>
  <c r="AF19" i="21"/>
  <c r="AH18" i="21"/>
  <c r="AJ18" i="21"/>
  <c r="AL18" i="21"/>
  <c r="AM18" i="21"/>
  <c r="AF18" i="21"/>
  <c r="AG17" i="21"/>
  <c r="AH17" i="21"/>
  <c r="AJ17" i="21"/>
  <c r="AL17" i="21"/>
  <c r="AM17" i="21"/>
  <c r="AF17" i="21"/>
  <c r="N17" i="21"/>
  <c r="O17" i="21"/>
  <c r="X20" i="20"/>
  <c r="X21" i="20"/>
  <c r="X19" i="20"/>
  <c r="X18" i="20"/>
  <c r="X17" i="20"/>
  <c r="H17" i="20"/>
  <c r="I17" i="20"/>
  <c r="AA17" i="20"/>
  <c r="AI17" i="20"/>
  <c r="AA18" i="20"/>
  <c r="AG18" i="20"/>
  <c r="AI18" i="20"/>
  <c r="AA19" i="20"/>
  <c r="AG19" i="20"/>
  <c r="AI19" i="20"/>
  <c r="AA20" i="20"/>
  <c r="AG20" i="20"/>
  <c r="AI20" i="20"/>
  <c r="AG21" i="20"/>
  <c r="AH21" i="20"/>
  <c r="K17" i="20"/>
  <c r="L17" i="20"/>
  <c r="M17" i="20"/>
  <c r="AA21" i="20"/>
  <c r="AK21" i="20"/>
  <c r="AJ21" i="20"/>
  <c r="AL21" i="20"/>
  <c r="AM21" i="20"/>
  <c r="AI21" i="20"/>
  <c r="AF21" i="20"/>
  <c r="AH20" i="20"/>
  <c r="AK17" i="20"/>
  <c r="AK18" i="20"/>
  <c r="AK19" i="20"/>
  <c r="AK20" i="20"/>
  <c r="AJ20" i="20"/>
  <c r="AL20" i="20"/>
  <c r="AM20" i="20"/>
  <c r="AF20" i="20"/>
  <c r="AH19" i="20"/>
  <c r="AJ19" i="20"/>
  <c r="AL19" i="20"/>
  <c r="AM19" i="20"/>
  <c r="AF19" i="20"/>
  <c r="AH18" i="20"/>
  <c r="AJ18" i="20"/>
  <c r="AL18" i="20"/>
  <c r="AM18" i="20"/>
  <c r="AF18" i="20"/>
  <c r="AG17" i="20"/>
  <c r="AH17" i="20"/>
  <c r="AJ17" i="20"/>
  <c r="AL17" i="20"/>
  <c r="AM17" i="20"/>
  <c r="AF17" i="20"/>
  <c r="N17" i="20"/>
  <c r="O17" i="20"/>
  <c r="X17" i="19"/>
  <c r="H17" i="19"/>
  <c r="I17" i="19"/>
  <c r="AA17" i="19"/>
  <c r="AG17" i="19"/>
  <c r="AH17" i="19"/>
  <c r="K17" i="19"/>
  <c r="L17" i="19"/>
  <c r="M17" i="19"/>
  <c r="AK17" i="19"/>
  <c r="AJ17" i="19"/>
  <c r="AL17" i="19"/>
  <c r="AM17" i="19"/>
  <c r="AI17" i="19"/>
  <c r="AF17" i="19"/>
  <c r="N17" i="19"/>
  <c r="O17" i="19"/>
  <c r="X18" i="18"/>
  <c r="X19" i="18"/>
  <c r="X17" i="18"/>
  <c r="H17" i="18"/>
  <c r="I17" i="18"/>
  <c r="AA17" i="18"/>
  <c r="AI17" i="18"/>
  <c r="AA18" i="18"/>
  <c r="AG18" i="18"/>
  <c r="AI18" i="18"/>
  <c r="AG19" i="18"/>
  <c r="AH19" i="18"/>
  <c r="K17" i="18"/>
  <c r="L17" i="18"/>
  <c r="M17" i="18"/>
  <c r="AA19" i="18"/>
  <c r="AK19" i="18"/>
  <c r="AJ19" i="18"/>
  <c r="AL19" i="18"/>
  <c r="AM19" i="18"/>
  <c r="AI19" i="18"/>
  <c r="AF19" i="18"/>
  <c r="AH18" i="18"/>
  <c r="AK17" i="18"/>
  <c r="AK18" i="18"/>
  <c r="AJ18" i="18"/>
  <c r="AL18" i="18"/>
  <c r="AM18" i="18"/>
  <c r="AF18" i="18"/>
  <c r="AG17" i="18"/>
  <c r="AH17" i="18"/>
  <c r="AJ17" i="18"/>
  <c r="AL17" i="18"/>
  <c r="AM17" i="18"/>
  <c r="AF17" i="18"/>
  <c r="N17" i="18"/>
  <c r="O17" i="18"/>
  <c r="X17" i="17"/>
  <c r="X18" i="17"/>
  <c r="H17" i="17"/>
  <c r="I17" i="17"/>
  <c r="AA17" i="17"/>
  <c r="AI17" i="17"/>
  <c r="AG18" i="17"/>
  <c r="AH18" i="17"/>
  <c r="K17" i="17"/>
  <c r="L17" i="17"/>
  <c r="M17" i="17"/>
  <c r="AA18" i="17"/>
  <c r="AK18" i="17"/>
  <c r="AJ18" i="17"/>
  <c r="AL18" i="17"/>
  <c r="AM18" i="17"/>
  <c r="AI18" i="17"/>
  <c r="AF18" i="17"/>
  <c r="AG17" i="17"/>
  <c r="AH17" i="17"/>
  <c r="AK17" i="17"/>
  <c r="AJ17" i="17"/>
  <c r="AL17" i="17"/>
  <c r="AM17" i="17"/>
  <c r="AF17" i="17"/>
  <c r="N17" i="17"/>
  <c r="O17" i="17"/>
  <c r="X22" i="16"/>
  <c r="X23" i="16"/>
  <c r="X21" i="16"/>
  <c r="X20" i="16"/>
  <c r="X19" i="16"/>
  <c r="X18" i="16"/>
  <c r="X17" i="16"/>
  <c r="H17" i="16"/>
  <c r="I17" i="16"/>
  <c r="AA17" i="16"/>
  <c r="AI17" i="16"/>
  <c r="AA18" i="16"/>
  <c r="AG18" i="16"/>
  <c r="AI18" i="16"/>
  <c r="AA19" i="16"/>
  <c r="AG19" i="16"/>
  <c r="AI19" i="16"/>
  <c r="AA20" i="16"/>
  <c r="AG20" i="16"/>
  <c r="AI20" i="16"/>
  <c r="AA21" i="16"/>
  <c r="AG21" i="16"/>
  <c r="AI21" i="16"/>
  <c r="AG22" i="16"/>
  <c r="AI22" i="16"/>
  <c r="AG23" i="16"/>
  <c r="AH23" i="16"/>
  <c r="K17" i="16"/>
  <c r="L17" i="16"/>
  <c r="M17" i="16"/>
  <c r="AA22" i="16"/>
  <c r="AK22" i="16"/>
  <c r="AA23" i="16"/>
  <c r="AK23" i="16"/>
  <c r="AJ23" i="16"/>
  <c r="AL23" i="16"/>
  <c r="AM23" i="16"/>
  <c r="AI23" i="16"/>
  <c r="AF23" i="16"/>
  <c r="AH22" i="16"/>
  <c r="AJ22" i="16"/>
  <c r="AL22" i="16"/>
  <c r="AM22" i="16"/>
  <c r="AF22" i="16"/>
  <c r="AH21" i="16"/>
  <c r="AK17" i="16"/>
  <c r="AK18" i="16"/>
  <c r="AK19" i="16"/>
  <c r="AK20" i="16"/>
  <c r="AK21" i="16"/>
  <c r="AJ21" i="16"/>
  <c r="AL21" i="16"/>
  <c r="AM21" i="16"/>
  <c r="AF21" i="16"/>
  <c r="AH20" i="16"/>
  <c r="AJ20" i="16"/>
  <c r="AL20" i="16"/>
  <c r="AM20" i="16"/>
  <c r="AF20" i="16"/>
  <c r="AH19" i="16"/>
  <c r="AJ19" i="16"/>
  <c r="AL19" i="16"/>
  <c r="AM19" i="16"/>
  <c r="AF19" i="16"/>
  <c r="AH18" i="16"/>
  <c r="AJ18" i="16"/>
  <c r="AL18" i="16"/>
  <c r="AM18" i="16"/>
  <c r="AF18" i="16"/>
  <c r="AG17" i="16"/>
  <c r="AH17" i="16"/>
  <c r="AJ17" i="16"/>
  <c r="AL17" i="16"/>
  <c r="AM17" i="16"/>
  <c r="AF17" i="16"/>
  <c r="N17" i="16"/>
  <c r="O17" i="16"/>
  <c r="X17" i="15"/>
  <c r="H17" i="15"/>
  <c r="I17" i="15"/>
  <c r="AA17" i="15"/>
  <c r="AG17" i="15"/>
  <c r="AH17" i="15"/>
  <c r="K17" i="15"/>
  <c r="L17" i="15"/>
  <c r="M17" i="15"/>
  <c r="AK17" i="15"/>
  <c r="AJ17" i="15"/>
  <c r="AL17" i="15"/>
  <c r="AM17" i="15"/>
  <c r="AI17" i="15"/>
  <c r="N17" i="15"/>
  <c r="O17" i="15"/>
  <c r="X20" i="14"/>
  <c r="X21" i="14"/>
  <c r="X19" i="14"/>
  <c r="X18" i="14"/>
  <c r="X17" i="14"/>
  <c r="H17" i="14"/>
  <c r="I17" i="14"/>
  <c r="AA17" i="14"/>
  <c r="AI17" i="14"/>
  <c r="AA18" i="14"/>
  <c r="AG18" i="14"/>
  <c r="AI18" i="14"/>
  <c r="AA19" i="14"/>
  <c r="AG19" i="14"/>
  <c r="AI19" i="14"/>
  <c r="AA20" i="14"/>
  <c r="AG20" i="14"/>
  <c r="AI20" i="14"/>
  <c r="AG21" i="14"/>
  <c r="AH21" i="14"/>
  <c r="K17" i="14"/>
  <c r="L17" i="14"/>
  <c r="M17" i="14"/>
  <c r="AA21" i="14"/>
  <c r="AK21" i="14"/>
  <c r="AJ21" i="14"/>
  <c r="AL21" i="14"/>
  <c r="AI21" i="14"/>
  <c r="AF21" i="14"/>
  <c r="AH20" i="14"/>
  <c r="AK17" i="14"/>
  <c r="AK18" i="14"/>
  <c r="AK19" i="14"/>
  <c r="AK20" i="14"/>
  <c r="AJ20" i="14"/>
  <c r="AL20" i="14"/>
  <c r="AF20" i="14"/>
  <c r="AH19" i="14"/>
  <c r="AJ19" i="14"/>
  <c r="AL19" i="14"/>
  <c r="AF19" i="14"/>
  <c r="AH18" i="14"/>
  <c r="AJ18" i="14"/>
  <c r="AL18" i="14"/>
  <c r="AF18" i="14"/>
  <c r="AG17" i="14"/>
  <c r="AH17" i="14"/>
  <c r="AJ17" i="14"/>
  <c r="AL17" i="14"/>
  <c r="AF17" i="14"/>
  <c r="N17" i="14"/>
  <c r="O17" i="14"/>
  <c r="X19" i="13"/>
  <c r="X20" i="13"/>
  <c r="X18" i="13"/>
  <c r="X17" i="13"/>
  <c r="H17" i="13"/>
  <c r="I17" i="13"/>
  <c r="AA17" i="13"/>
  <c r="AI17" i="13"/>
  <c r="AA18" i="13"/>
  <c r="AG18" i="13"/>
  <c r="AI18" i="13"/>
  <c r="AA19" i="13"/>
  <c r="AG19" i="13"/>
  <c r="AI19" i="13"/>
  <c r="AG20" i="13"/>
  <c r="AH20" i="13"/>
  <c r="K17" i="13"/>
  <c r="L17" i="13"/>
  <c r="M17" i="13"/>
  <c r="AA20" i="13"/>
  <c r="AK20" i="13"/>
  <c r="AJ20" i="13"/>
  <c r="AL20" i="13"/>
  <c r="AM20" i="13"/>
  <c r="AI20" i="13"/>
  <c r="AF20" i="13"/>
  <c r="AH19" i="13"/>
  <c r="AK17" i="13"/>
  <c r="AK19" i="13"/>
  <c r="AJ19" i="13"/>
  <c r="AL19" i="13"/>
  <c r="AM19" i="13"/>
  <c r="AF19" i="13"/>
  <c r="AH18" i="13"/>
  <c r="AK18" i="13"/>
  <c r="AJ18" i="13"/>
  <c r="AL18" i="13"/>
  <c r="AM18" i="13"/>
  <c r="AF18" i="13"/>
  <c r="AG17" i="13"/>
  <c r="AH17" i="13"/>
  <c r="AJ17" i="13"/>
  <c r="AL17" i="13"/>
  <c r="AM17" i="13"/>
  <c r="AF17" i="13"/>
  <c r="N17" i="13"/>
  <c r="O17" i="13"/>
  <c r="X17" i="12"/>
  <c r="X18" i="12"/>
  <c r="H17" i="12"/>
  <c r="I17" i="12"/>
  <c r="AA17" i="12"/>
  <c r="AI17" i="12"/>
  <c r="AA18" i="12"/>
  <c r="AG18" i="12"/>
  <c r="AH18" i="12"/>
  <c r="K17" i="12"/>
  <c r="L17" i="12"/>
  <c r="M17" i="12"/>
  <c r="AK17" i="12"/>
  <c r="AK18" i="12"/>
  <c r="AJ18" i="12"/>
  <c r="AL18" i="12"/>
  <c r="AM18" i="12"/>
  <c r="AI18" i="12"/>
  <c r="AG17" i="12"/>
  <c r="AH17" i="12"/>
  <c r="AJ17" i="12"/>
  <c r="AL17" i="12"/>
  <c r="AM17" i="12"/>
  <c r="AF17" i="12"/>
  <c r="N17" i="12"/>
  <c r="O17" i="12"/>
  <c r="X22" i="11"/>
  <c r="X23" i="11"/>
  <c r="X21" i="11"/>
  <c r="X20" i="11"/>
  <c r="X19" i="11"/>
  <c r="X18" i="11"/>
  <c r="X17" i="11"/>
  <c r="H17" i="11"/>
  <c r="I17" i="11"/>
  <c r="AA17" i="11"/>
  <c r="AI17" i="11"/>
  <c r="AA18" i="11"/>
  <c r="AG18" i="11"/>
  <c r="AI18" i="11"/>
  <c r="AA19" i="11"/>
  <c r="AG19" i="11"/>
  <c r="AI19" i="11"/>
  <c r="AA20" i="11"/>
  <c r="AG20" i="11"/>
  <c r="AI20" i="11"/>
  <c r="AG21" i="11"/>
  <c r="AI21" i="11"/>
  <c r="AG22" i="11"/>
  <c r="AI22" i="11"/>
  <c r="AG23" i="11"/>
  <c r="AH23" i="11"/>
  <c r="AJ23" i="11"/>
  <c r="AL23" i="11"/>
  <c r="AM23" i="11"/>
  <c r="AI23" i="11"/>
  <c r="AF23" i="11"/>
  <c r="AA23" i="11"/>
  <c r="AH22" i="11"/>
  <c r="AJ22" i="11"/>
  <c r="AL22" i="11"/>
  <c r="AM22" i="11"/>
  <c r="AF22" i="11"/>
  <c r="AA22" i="11"/>
  <c r="AH21" i="11"/>
  <c r="K17" i="11"/>
  <c r="L17" i="11"/>
  <c r="M17" i="11"/>
  <c r="AA21" i="11"/>
  <c r="AK21" i="11"/>
  <c r="AJ21" i="11"/>
  <c r="AL21" i="11"/>
  <c r="AM21" i="11"/>
  <c r="AF21" i="11"/>
  <c r="AH20" i="11"/>
  <c r="AK17" i="11"/>
  <c r="AK18" i="11"/>
  <c r="AK20" i="11"/>
  <c r="AJ20" i="11"/>
  <c r="AL20" i="11"/>
  <c r="AM20" i="11"/>
  <c r="AF20" i="11"/>
  <c r="AH19" i="11"/>
  <c r="AK19" i="11"/>
  <c r="AJ19" i="11"/>
  <c r="AL19" i="11"/>
  <c r="AM19" i="11"/>
  <c r="AF19" i="11"/>
  <c r="AH18" i="11"/>
  <c r="AJ18" i="11"/>
  <c r="AL18" i="11"/>
  <c r="AM18" i="11"/>
  <c r="AF18" i="11"/>
  <c r="AG17" i="11"/>
  <c r="AH17" i="11"/>
  <c r="AJ17" i="11"/>
  <c r="AL17" i="11"/>
  <c r="AM17" i="11"/>
  <c r="AF17" i="11"/>
  <c r="N17" i="11"/>
  <c r="O17" i="11"/>
  <c r="AF18" i="8"/>
  <c r="AF17" i="8"/>
  <c r="AF17" i="9"/>
  <c r="AF17" i="7"/>
  <c r="AA17" i="9"/>
  <c r="X17" i="9"/>
  <c r="K17" i="9"/>
  <c r="M17" i="9"/>
  <c r="H17" i="9"/>
  <c r="AA18" i="8"/>
  <c r="X18" i="8"/>
  <c r="AA17" i="8"/>
  <c r="X17" i="8"/>
  <c r="K17" i="8"/>
  <c r="L17" i="8"/>
  <c r="M17" i="8"/>
  <c r="H17" i="8"/>
  <c r="H17" i="7"/>
  <c r="I17" i="7"/>
  <c r="K17" i="7"/>
  <c r="L17" i="7"/>
  <c r="X17" i="7"/>
  <c r="AA17" i="7"/>
  <c r="N17" i="8"/>
  <c r="O17" i="8"/>
  <c r="AI17" i="7"/>
  <c r="N17" i="9"/>
  <c r="O17" i="9"/>
  <c r="I17" i="9"/>
  <c r="AI17" i="9"/>
  <c r="AG17" i="9"/>
  <c r="AH17" i="9"/>
  <c r="AK17" i="9"/>
  <c r="AJ17" i="9"/>
  <c r="I17" i="8"/>
  <c r="AI17" i="8"/>
  <c r="AG18" i="8"/>
  <c r="AG17" i="8"/>
  <c r="AH17" i="8"/>
  <c r="AK17" i="8"/>
  <c r="AJ17" i="8"/>
  <c r="AG17" i="7"/>
  <c r="AH17" i="7"/>
  <c r="M17" i="7"/>
  <c r="AK17" i="7"/>
  <c r="AJ17" i="7"/>
  <c r="N17" i="7"/>
  <c r="O17" i="7"/>
  <c r="AL17" i="9"/>
  <c r="AM17" i="9"/>
  <c r="AI18" i="8"/>
  <c r="AH18" i="8"/>
  <c r="AL17" i="8"/>
  <c r="AM17" i="8"/>
  <c r="AK18" i="8"/>
  <c r="AJ18" i="8"/>
  <c r="AL17" i="7"/>
  <c r="AM17" i="7"/>
  <c r="AL18" i="8"/>
  <c r="AM1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057E3169-28A3-43D6-BF2D-1DB4E3657D27}">
      <text>
        <r>
          <rPr>
            <b/>
            <sz val="9"/>
            <color indexed="81"/>
            <rFont val="Tahoma"/>
            <family val="2"/>
          </rPr>
          <t>ACEPTAR EL RIESGO
REDUCIR EL RIESGO
EVITAR EL RIESGO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B470E24D-7B0E-430B-B6A0-66B41B5D4AD9}">
      <text>
        <r>
          <rPr>
            <b/>
            <sz val="9"/>
            <color indexed="81"/>
            <rFont val="Tahoma"/>
            <family val="2"/>
          </rPr>
          <t>ACEPTAR EL RIESGO
REDUCIR EL RIESGO
EVITAR EL RIESGO</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B4C99F99-BA5A-4520-AAFF-54F53071075A}">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B5D85FFA-31B0-443F-81CB-3FE06439A276}">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9F245596-902F-4690-AEEE-8D7A7AD2D51B}">
      <text>
        <r>
          <rPr>
            <b/>
            <sz val="9"/>
            <color indexed="81"/>
            <rFont val="Tahoma"/>
            <family val="2"/>
          </rPr>
          <t>ACEPTAR EL RIESGO
REDUCIR EL RIESGO
EVITAR EL RIESGO</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3C0C4588-7425-4860-9746-F9066B219F23}">
      <text>
        <r>
          <rPr>
            <b/>
            <sz val="9"/>
            <color indexed="81"/>
            <rFont val="Tahoma"/>
            <family val="2"/>
          </rPr>
          <t>ACEPTAR EL RIESGO
REDUCIR EL RIESGO
EVITAR EL RIESGO</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6EBB3C59-38E3-4A19-BD5D-C1E2FB3C1146}">
      <text>
        <r>
          <rPr>
            <b/>
            <sz val="9"/>
            <color indexed="81"/>
            <rFont val="Tahoma"/>
            <family val="2"/>
          </rPr>
          <t>ACEPTAR EL RIESGO
REDUCIR EL RIESGO
EVITAR EL RIESGO</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CF81CB51-8AC6-4493-B2FB-A04781954DA8}">
      <text>
        <r>
          <rPr>
            <b/>
            <sz val="9"/>
            <color indexed="81"/>
            <rFont val="Tahoma"/>
            <family val="2"/>
          </rPr>
          <t>ACEPTAR EL RIESGO
REDUCIR EL RIESGO
EVITAR EL RIESGO</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32EFF321-8643-444D-9793-A418A3977B78}">
      <text>
        <r>
          <rPr>
            <b/>
            <sz val="9"/>
            <color indexed="81"/>
            <rFont val="Tahoma"/>
            <family val="2"/>
          </rPr>
          <t>ACEPTAR EL RIESGO
REDUCIR EL RIESGO
EVITAR EL RIESGO</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E39F57A9-DEA8-4800-B0B7-3DFE051CE6DE}">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75508995-F30A-4881-9D93-E4A145905570}">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70592962-8BE6-405E-9875-9B5CFF2629E5}">
      <text>
        <r>
          <rPr>
            <b/>
            <sz val="9"/>
            <color indexed="81"/>
            <rFont val="Tahoma"/>
            <family val="2"/>
          </rPr>
          <t>ACEPTAR EL RIESGO
REDUCIR EL RIESGO
EVITAR EL RIESGO</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F08998A0-02E0-46BE-99C0-D3B7FAA9C30B}">
      <text>
        <r>
          <rPr>
            <b/>
            <sz val="9"/>
            <color indexed="81"/>
            <rFont val="Tahoma"/>
            <family val="2"/>
          </rPr>
          <t>ACEPTAR EL RIESGO
REDUCIR EL RIESGO
EVITAR EL RIESGO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2C41DB0B-7A91-4CD4-829C-CFB8ECC9B3B7}">
      <text>
        <r>
          <rPr>
            <b/>
            <sz val="9"/>
            <color indexed="81"/>
            <rFont val="Tahoma"/>
            <family val="2"/>
          </rPr>
          <t>ACEPTAR EL RIESGO
REDUCIR EL RIESGO
EVITAR EL RIESGO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4984153C-A5D3-47A6-B5B7-C79A3D104B65}">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47BD98B2-2F8F-48D5-B705-F2A8B05C8E22}">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ECB496FB-6165-4A78-A681-492089420D40}">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2FF7C30D-90D0-4B0B-959C-9F2F943F2D48}">
      <text>
        <r>
          <rPr>
            <b/>
            <sz val="9"/>
            <color indexed="81"/>
            <rFont val="Tahoma"/>
            <family val="2"/>
          </rPr>
          <t>ACEPTAR EL RIESGO
REDUCIR EL RIESGO
EVITAR EL RIESGO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3D5F7C18-2473-4434-918A-F67FB870BEBF}">
      <text>
        <r>
          <rPr>
            <b/>
            <sz val="9"/>
            <color indexed="81"/>
            <rFont val="Tahoma"/>
            <family val="2"/>
          </rPr>
          <t>ACEPTAR EL RIESGO
REDUCIR EL RIESGO
EVITAR EL RIESGO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A3523731-8E63-4B15-B4BF-8777DF853D81}">
      <text>
        <r>
          <rPr>
            <b/>
            <sz val="9"/>
            <color indexed="81"/>
            <rFont val="Tahoma"/>
            <family val="2"/>
          </rPr>
          <t>ACEPTAR EL RIESGO
REDUCIR EL RIESGO
EVITAR EL RIESGO</t>
        </r>
      </text>
    </comment>
  </commentList>
</comments>
</file>

<file path=xl/sharedStrings.xml><?xml version="1.0" encoding="utf-8"?>
<sst xmlns="http://schemas.openxmlformats.org/spreadsheetml/2006/main" count="2693" uniqueCount="862">
  <si>
    <t xml:space="preserve">DIRECCIONAMIENTO ESTRATÉGICO </t>
  </si>
  <si>
    <t>CÓDIGO</t>
  </si>
  <si>
    <t>E-DES-FT-015</t>
  </si>
  <si>
    <t>VERSIÓN</t>
  </si>
  <si>
    <t>11</t>
  </si>
  <si>
    <t>MAPA DE RIESGOS DE GESTIÓN Y RIESGOS FISCALES</t>
  </si>
  <si>
    <t>PÁGINA</t>
  </si>
  <si>
    <t>1 DE 3</t>
  </si>
  <si>
    <t>VIGENTE DESDE</t>
  </si>
  <si>
    <t>Proceso</t>
  </si>
  <si>
    <t>GESTION DEL DESARROLLO HUMANO</t>
  </si>
  <si>
    <t>Objetivo del Proceso</t>
  </si>
  <si>
    <t>Gestionar y administrar el Talento Humano de la Entidad, durante el ciclo de vida del servidor público, a través de actividades correspondientes a la seguridad y salud en el trabajo, el bienestar y la capacitación, para asegurar un equipo de trabajo idóneo que garanticen la efectiva prestación del servicio y la eficiente operación institucional en las diferentes sedes del IDIPRON de acuerdo con la normatividad vigente.</t>
  </si>
  <si>
    <t>Alcance</t>
  </si>
  <si>
    <t>Inicia con la planeación del talento humano e incluye su vinculación, desarrollo, bienestar, administración, Salud y Seguridad en el trabajo; y culmina con el retiro del mismo, por algunas de las causales definidas en el articulo 2.2.5.2.1 del Decreto 1083 de 2015. Aplica a todos los funcionarios del Instituto y cubre las rutas de análisis de datos, crecimiento, felicidad, calidad y servicio.</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</si>
  <si>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</si>
  <si>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</si>
  <si>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</si>
  <si>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</si>
  <si>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</si>
  <si>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</si>
  <si>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</si>
  <si>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</si>
  <si>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</si>
  <si>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</si>
  <si>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</si>
  <si>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</si>
  <si>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</si>
  <si>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</si>
  <si>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</si>
  <si>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</si>
  <si>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</si>
  <si>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</si>
  <si>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</si>
  <si>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</si>
  <si>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</si>
  <si>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</si>
  <si>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</si>
  <si>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</si>
  <si>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</si>
  <si>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</si>
  <si>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</si>
  <si>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</si>
  <si>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</si>
  <si>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</si>
  <si>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</si>
  <si>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</si>
  <si>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</si>
  <si>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</si>
  <si>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</si>
  <si>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</si>
  <si>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</si>
  <si>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</si>
  <si>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</si>
  <si>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</si>
  <si>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</si>
  <si>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</si>
  <si>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</si>
  <si>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</si>
  <si>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</si>
  <si>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</si>
  <si>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</si>
  <si>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</si>
  <si>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</si>
  <si>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</si>
  <si>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Reputacional</t>
  </si>
  <si>
    <t>Insatisfacción de los funcionarios</t>
  </si>
  <si>
    <t>Planes de Bienestar y Capacitación que no cumplen con las expectativas y necesidades de los servidores públicos</t>
  </si>
  <si>
    <t>Posibilidad de afectación reputacional debido a quejas y reclamos por insatisfacción de los servidores públicos por planes de Bienestar y Capacitación que no cumplen con sus expectativas y necesidades</t>
  </si>
  <si>
    <t>El riesgo afecta la imagen de algún área de la organización.</t>
  </si>
  <si>
    <t xml:space="preserve">Los servidores y Contratistas de la Gerencia de Talento Humano </t>
  </si>
  <si>
    <t>Anualmente para la vigencia siguiente.</t>
  </si>
  <si>
    <t>Revisar los resultados de la aplicación en la herramienta establecida.</t>
  </si>
  <si>
    <t>Aplicando herramientas para el diagnóstico de necesidades de aprendizaje organizacional para capacitación y encuesta de necesidades y expectativas en materia de bienestar con el fin de definir los planes de bienestar y capacitación dirigidas al personal de planta del instituto.</t>
  </si>
  <si>
    <t>Cuando la muestra no sea representativa ( menor al 50% del personal de planta) , se reitera mediante correo electrónico la invitación a responder la herramienta y se amplía el plazo para la respuesta</t>
  </si>
  <si>
    <t>Informe de diagnóstico de necesidades de aprendizaje organizacional
Informe de diagnóstico de necesidades y expectativas de bienestar social e incentivos
Correos electrónicos de reiteración o de ampliación de plazo (Cuando aplique)</t>
  </si>
  <si>
    <t>Preventivo</t>
  </si>
  <si>
    <t>Manual</t>
  </si>
  <si>
    <t>Documentado</t>
  </si>
  <si>
    <t>Procedimiento Plan Institucional de Capacitaciòn - PIC A-GDH-PR-002 
Procedimiento Bienestar Social e Incentivos A-GDH-PR-004</t>
  </si>
  <si>
    <t>Aleatoria</t>
  </si>
  <si>
    <t>Con registro</t>
  </si>
  <si>
    <t>REDUCIR EL RIESGO</t>
  </si>
  <si>
    <t>Realizar acompañamiento por parte del personal de bienestar o capacitación a las actividades con costo
Aplica a todas las actividades con costo del plan de Bienestar y capacitación ejecutadas dentro del contrato</t>
  </si>
  <si>
    <t>Gerencia Desarrollo Humano - Gestión de Bienestar y Capacitación</t>
  </si>
  <si>
    <t xml:space="preserve"> 30/12/2026</t>
  </si>
  <si>
    <r>
      <rPr>
        <sz val="11"/>
        <color rgb="FF000000"/>
        <rFont val="Times New Roman"/>
        <family val="1"/>
      </rPr>
      <t>BIENESTAR 
Se habilitó entre el 12de diciembre  y el 26 de diciembre de 2025  y fue contestada por 122 personas que corresponde al 54.2% del total de personas que componen la planta de personal de la Entidad, como insumo para la elaboración del Plan de Bienestar Social 2026.</t>
    </r>
    <r>
      <rPr>
        <sz val="11"/>
        <color rgb="FFFF0000"/>
        <rFont val="Times New Roman"/>
        <family val="1"/>
      </rPr>
      <t xml:space="preserve"> 
</t>
    </r>
    <r>
      <rPr>
        <sz val="11"/>
        <color rgb="FF000000"/>
        <rFont val="Times New Roman"/>
        <family val="1"/>
      </rPr>
      <t xml:space="preserve">
CAPACITACIÓN
Habilitò del 12  al 23 de diciembre  de 2025 y fue contestada por 127 personas que corresponde al 56.4% del total de personas que componen la planta de personal de la Entidad, como insumo para la elaboración del Plan Institucional de Capacitación 2026. 
</t>
    </r>
  </si>
  <si>
    <t>No aplican para el período evaluado</t>
  </si>
  <si>
    <t>No se materializó riesgo, por tanto no hubo necesidad de aplicar dichos controles</t>
  </si>
  <si>
    <t>Los procesos de contratación de Bienestar y Capacitación se encuentran en fase Precontractual</t>
  </si>
  <si>
    <t>18/05/2026
Una vez revisadas las evidencias aportadas por el proceso, se evidencia la correcta realización de los controles establecidos mediante la aplicación de la encuesta para la identificación de las necesidades y expectativas de los funcionarios respecto al desarrollo de los planes de capacitación y bienestar e incentivos para la vigencia 2026.
Respecto a la acción de fortalecimiento el proceso no reporta ejecución, toda vez que la contratación para el desarrollo de las actividades contenidas en los planes descritos anteriormente, se encuentran en su fase pre-contractual.
Dado lo anterior se evidencia que el riesgo no se materializó
&amp;</t>
  </si>
  <si>
    <r>
      <t>CONTROL 1:</t>
    </r>
    <r>
      <rPr>
        <sz val="11"/>
        <rFont val="Times New Roman"/>
        <family val="1"/>
      </rPr>
      <t xml:space="preserve"> Se verificó la aplicación del control mediante la evidencia documental presentada, consistente en el </t>
    </r>
    <r>
      <rPr>
        <i/>
        <sz val="11"/>
        <rFont val="Times New Roman"/>
        <family val="1"/>
      </rPr>
      <t>"Informe de diagnóstico de necesidades y expectativas de Bienestar social e incentivos 2026"</t>
    </r>
    <r>
      <rPr>
        <sz val="11"/>
        <rFont val="Times New Roman"/>
        <family val="1"/>
      </rPr>
      <t xml:space="preserve">, </t>
    </r>
    <r>
      <rPr>
        <i/>
        <sz val="11"/>
        <rFont val="Times New Roman"/>
        <family val="1"/>
      </rPr>
      <t>"Informe de diagnóstico de aprendizaje organizacional"</t>
    </r>
    <r>
      <rPr>
        <sz val="11"/>
        <rFont val="Times New Roman"/>
        <family val="1"/>
      </rPr>
      <t xml:space="preserve">, y los correos electronicos que evidencian la gestión de los citados documentos.
Sobre los documentos/soportes allegados, esta Oficina recomienda tanto al proceso evaluado como a la </t>
    </r>
    <r>
      <rPr>
        <i/>
        <sz val="11"/>
        <rFont val="Times New Roman"/>
        <family val="1"/>
      </rPr>
      <t>Oficina Asesora de Planeación</t>
    </r>
    <r>
      <rPr>
        <sz val="11"/>
        <rFont val="Times New Roman"/>
        <family val="1"/>
      </rPr>
      <t>, revisar los mismos, toda vez que, se observa que no cuentan con código ni establecen desde cuando están vigente.</t>
    </r>
    <r>
      <rPr>
        <b/>
        <sz val="11"/>
        <rFont val="Times New Roman"/>
        <family val="1"/>
      </rPr>
      <t xml:space="preserve">
No se ha presentado materialización del riesgo.</t>
    </r>
  </si>
  <si>
    <t xml:space="preserve">Los equipos de bienestar y capacitación </t>
  </si>
  <si>
    <t>Cada vez que termina una actividad de bienestar o un proceso de formación con costo, y que dure mas de 8 horas</t>
  </si>
  <si>
    <t>Verificar de la aplicación de los formatos a las personas participantes</t>
  </si>
  <si>
    <t>Cada vez que se finalice una actividad por completo se mide el grado de satisfacción de los funcionarios, mediante la aplicación del formato "Encuesta de satisfacción de la capacitación A-GDH-FT-022" para aquellas capacitaciones que superen 8 horas y el formato "Evaluación de la actividad de Bienestar A-GDH-FT-008" para las actividades del plan de bienestar.</t>
  </si>
  <si>
    <r>
      <rPr>
        <sz val="12"/>
        <color rgb="FF000000"/>
        <rFont val="Arial"/>
        <family val="2"/>
      </rPr>
      <t>En</t>
    </r>
    <r>
      <rPr>
        <sz val="12"/>
        <color rgb="FF000000"/>
        <rFont val="Times New Roman"/>
        <family val="1"/>
      </rPr>
      <t xml:space="preserve"> caso de que se presenten quejas y reclamos por insatisfacción de parte de los servidores respecto a las actividades de bienestar y/o capacitación, la Gerencia de Desarrollo Humano analiza en conjunto con el proveedor las causas y acciones a desarrollar para mejorar la satisfacción.</t>
    </r>
  </si>
  <si>
    <t>Encuesta de satisfacción de la capacitación A-GDH-FT-022
Evaluación de la actividad de Bienestar A-GDH-FT-008
Correo electrónico con la novedad presentada (Si aplica)</t>
  </si>
  <si>
    <t>Detectivo</t>
  </si>
  <si>
    <t>Continua</t>
  </si>
  <si>
    <t xml:space="preserve">
BIENESTAR 
Durante el primer cuatrimestre no se han realizado actividades con costo, se está en el proceso precontractual para dichas actividades, por lo anterior el control no es aplicable al período evaluado. 
CAPACITACIÓN
Durante el primer cuatrimestre no se han realizado proceso de formación con costo, se está en el proceso precontractual para dichos procesos de formación, por lo anterior el control no no es aplicable al período evaluado.. 
</t>
  </si>
  <si>
    <t>18/05/2026
El proceso no reporta ejecución de controles ni de la acción de fortalecimiento, toda vez que los procesos de contratación para el desarrollo de las actividades contenidas en los planes de Bienestar Social e Incentivos y del PIC se encuentran en su fase pre-contractual.
&amp;</t>
  </si>
  <si>
    <r>
      <rPr>
        <b/>
        <sz val="11"/>
        <color rgb="FF000000"/>
        <rFont val="Times New Roman"/>
      </rPr>
      <t>CONTROL 2:</t>
    </r>
    <r>
      <rPr>
        <sz val="11"/>
        <color rgb="FF000000"/>
        <rFont val="Times New Roman"/>
      </rPr>
      <t xml:space="preserve"> De conformidad con el reporte realizado por el Proceso evaluado, esta Oficina identificó que, los procesos de contratación de Bienestar y Capacitación se encuentran en fase Precontractual.
En consecuencia, al momento de la revisión no se cuenta con soportes de su ejecución. Por lo que, esta Oficina realizará verificación en el seguimiento correspondiente al segundo cuatrimestre.</t>
    </r>
  </si>
  <si>
    <t xml:space="preserve">Se podrán incluir más filas de acuerdo a la cantidad de riesgos que se requieran relacionar </t>
  </si>
  <si>
    <t>Vr. 02; 13/03/2024</t>
  </si>
  <si>
    <t>2 DE 3</t>
  </si>
  <si>
    <t>Económico</t>
  </si>
  <si>
    <t>Indemnización por accidentes de trabajo de  funcionarios.</t>
  </si>
  <si>
    <t xml:space="preserve">Incumplimiento en los estándares mínimos requeridos en la normatividad vigente relacionada con la salud y seguridad en el trabajo </t>
  </si>
  <si>
    <t xml:space="preserve">Posibilidad de afectación económica indemnizando a  funcionarios debido al incumplimiento en los estándares mínimos requeridos en la normatividad vigente relacionada con la salud y seguridad en el trabajo </t>
  </si>
  <si>
    <t>Afectación Menor o igual a 700 SMLMV</t>
  </si>
  <si>
    <t>Los/as servidores/as y contratistas del área de Carrera Administrativa.</t>
  </si>
  <si>
    <r>
      <rPr>
        <sz val="12"/>
        <color rgb="FF000000"/>
        <rFont val="Times New Roman"/>
        <family val="1"/>
      </rPr>
      <t>Cada vez que se dé una nueva vinculación a la planta de personal de la entidad</t>
    </r>
    <r>
      <rPr>
        <b/>
        <sz val="12"/>
        <color rgb="FF000000"/>
        <rFont val="Times New Roman"/>
        <family val="1"/>
      </rPr>
      <t xml:space="preserve"> </t>
    </r>
  </si>
  <si>
    <t>Verificar que se haya generado el certificado de afiliación a la ARL.</t>
  </si>
  <si>
    <t>Mediante el diligenciamiento del formato, “Verificación de requisitos para la posesión en planta A-GDH-FT-054”</t>
  </si>
  <si>
    <t>Se envía una solicitud mediante correo electrónico a SST, de afiliación inmediata de la persona que se vinculó. En caso de que no se haya realizado la afiliación se aplaza la posesión.</t>
  </si>
  <si>
    <t>*Verificación de requisitos para la posesión en planta A-GDH-FT-054
* Certificación ARL
*Correo electrónico de notificación (cuando aplique).</t>
  </si>
  <si>
    <t>Procedimiento de vinculacion de personal A-GDH-PR-007</t>
  </si>
  <si>
    <t>Sensibilizar a las personas encargadas de realizar el proceso de afiliación a la ARL sobre la importancia de realizar la gestión con oportunidad</t>
  </si>
  <si>
    <t>Profesionales de SST y gestión de carrera administrativa
Gerencia de Desarrollo Humano</t>
  </si>
  <si>
    <t xml:space="preserve">Para el primer cuatrimestre se realizaron treinta y un (31) nuevos nombramientos discriminados así; Libre Nombramiento y Remoción; uno (1) y en Periodo de Prueba; treinta (30).  En este sentido, los (as) servidores (as) y contratistas de Gestión de Carrera Administrativa certificaron que se contará con el soporte de la afiliación a la ARL de la persona a vincular para la posesión, tal y como lo solicita el formato “Verificación de requisitos para la posesión en planta A-GDH-FT-054”. 
El Formato de “Verificación de requisitos para la posesión en planta A-GDH-FT-054" no se diligencia en un único momento, la fecha de diligenciamiento que se registra corresponde al primer día en que se empieza a solicitar y verificar la documentación, la afiliación a ARL es de los últimos documentos a verificar.
</t>
  </si>
  <si>
    <t>La accion de fortalecimiento se relizarà en el segundo cuatrimestre</t>
  </si>
  <si>
    <t>Ninguna</t>
  </si>
  <si>
    <t>18/05/2026
Una vez revisadas las evidencias aportadas por el proceso se evidencia que el certificado de afiliación a la ARL de todos los funcionarios posesionados durante el perido a evaluar, se encuentran realizados previamente a la fecha de posesión tal y como lo establece la ejecución del control.
Respecto a la acción de fortalecimiento el proceso  reporta que su ejecución se realizará durante el segundo cuatrimestre del año.
No hubo materialización del riesgo.
&amp;</t>
  </si>
  <si>
    <r>
      <rPr>
        <b/>
        <sz val="11"/>
        <rFont val="Times New Roman"/>
        <family val="1"/>
      </rPr>
      <t>CONTROL 1:</t>
    </r>
    <r>
      <rPr>
        <sz val="11"/>
        <rFont val="Times New Roman"/>
        <family val="1"/>
      </rPr>
      <t xml:space="preserve"> Se verificó la aplicación del control mediante la evidencia documental presentada, consistente en los </t>
    </r>
    <r>
      <rPr>
        <i/>
        <sz val="11"/>
        <rFont val="Times New Roman"/>
        <family val="1"/>
      </rPr>
      <t>"Certificados ARL"</t>
    </r>
    <r>
      <rPr>
        <sz val="11"/>
        <rFont val="Times New Roman"/>
        <family val="1"/>
      </rPr>
      <t xml:space="preserve"> y</t>
    </r>
    <r>
      <rPr>
        <i/>
        <sz val="11"/>
        <rFont val="Times New Roman"/>
        <family val="1"/>
      </rPr>
      <t xml:space="preserve"> los formatos "Verificación de requisitos para la posesión en planta A-GDH-FT-054"</t>
    </r>
    <r>
      <rPr>
        <sz val="11"/>
        <rFont val="Times New Roman"/>
        <family val="1"/>
      </rPr>
      <t xml:space="preserve">, para los treinta (30) nombramientos en periodo de prueba, y el nombramiento ordinario (1); reportados en el periodo.
</t>
    </r>
    <r>
      <rPr>
        <b/>
        <sz val="11"/>
        <rFont val="Times New Roman"/>
        <family val="1"/>
      </rPr>
      <t>No se ha presentado materialización del riesgo.</t>
    </r>
  </si>
  <si>
    <t>El Formato de “Verificación de requisitos para la posesión en planta A-GDH-FT-054" no se diligencia en un único momento, la fecha de diligenciamiento que se registra corresponde al primer día en que se empieza a solicitar y verificar la documentación, la afiliación a ARL es de los últimos documentos a verificar.</t>
  </si>
  <si>
    <t>3 DE 3</t>
  </si>
  <si>
    <t>Asumir pagos por incapacidades.</t>
  </si>
  <si>
    <t>No recobro de incapacidades</t>
  </si>
  <si>
    <t xml:space="preserve">Posibilidad de afectación económica por asumir pagos por incapacidades médicas debido al no recobro de estas. </t>
  </si>
  <si>
    <t>Leve</t>
  </si>
  <si>
    <t>Los/as servidores/as y contratistas de Gestión Nómina.</t>
  </si>
  <si>
    <r>
      <rPr>
        <b/>
        <sz val="10"/>
        <color rgb="FF000000"/>
        <rFont val="Times New Roman"/>
        <family val="1"/>
      </rPr>
      <t>C</t>
    </r>
    <r>
      <rPr>
        <sz val="10"/>
        <color rgb="FF000000"/>
        <rFont val="Times New Roman"/>
        <family val="1"/>
      </rPr>
      <t>ada vez que se presenta una incapacidad que requiera cobro</t>
    </r>
  </si>
  <si>
    <t>Revisar incapacidades mayores a dos días de ausencia a través del certificado de incapacidad.</t>
  </si>
  <si>
    <t>A través del certificado de incapacidad y a través de la plataforma de cada EPS o ARL, se realiza el proceso de cobro y se envía a la Entidad correspondiente.</t>
  </si>
  <si>
    <t>Si el documento no es legible, se solicita al funcionario el reenvío del documento. cuando hay traslapo de incapacidades se solicita al funcionario gestione al médico tratante rectificación de fechas.</t>
  </si>
  <si>
    <t>Seguimiento y gestión Cobro reconocimiento económico por incapacidades 
Correos enviados al funcionario y/o memorando de solicitud de reenvío de documentación o rectificación de fechas(cuando aplique)</t>
  </si>
  <si>
    <t>Instructivo A-GDH-IN-002 Novedades para el sistema de seguridad social integral</t>
  </si>
  <si>
    <t>De acuerdo con la metodología para la administración del riesgo, no se formulan acciones de fortalecimiento para la vigencia 2026, por cuanto los controles existentes se consideran suficientes y permiten mitigar el riesgo</t>
  </si>
  <si>
    <t>En el cuatrimestre se realizó cada mes  el cobro para el reconocimiento económico de las incapacidades  con 3 o más días y  se realizó la verificacion del certificado y cobro ante la correspondiente EPS o ARL mediante los canales dispuestos para tal fin.  
En enero de 2026 se recibieron 16 incapacidades, de las cuales 5 fueron objeto de cobro a las respectivas EPS por presentar más de 2 días de incapacidad. 
En febrero de 2026 se recibieron 28 incapacidades, de las cuales 7 fueron objeto de cobro a las respectivas EPS por presentar más de 2 días de incapacidad.
En marzo de 2026 se recibieron 23 incapacidades, de las cuales 15 fueron objeto de cobro a las respectivas EPS por presentar más de 2 días de incapacidad. 
En abril de 2026 se recibieron 17 incapacidades, de las cuales 6 fueron objeto de cobro a las respectivas EPS por presentar más de 2 días de incapacidad. 
El funcionario encargado  de cobro de los certificados de incapacidades, realizó el control de cada una de las acciones con el fin de mitigar la materializacion del riesgo.</t>
  </si>
  <si>
    <t>No aplica</t>
  </si>
  <si>
    <t>No se materializó riesgo.</t>
  </si>
  <si>
    <t>18/05/2026
Una vez revisadas las evidencias aportadas por el proceso se evidencia la adecuada ejecución del control, dado que se realizó la validación de las incapacidades mayores a dos días de ausencia, sin embargo se recomienda al proceso realizar el ajuste de la evidencia de ejecución del control debido a que en este momento no están presentando las incapacidades emitidas por las EPS como lo dejaron establecido en la matriz, sino que presentan un informe consolidado por mes de ejecución.
El proceso no formuló acción de fortalecimiento para este riesgo identificado.
No hubo materialización del riesgo.
&amp;</t>
  </si>
  <si>
    <r>
      <rPr>
        <b/>
        <sz val="11"/>
        <color rgb="FF000000"/>
        <rFont val="Times New Roman"/>
      </rPr>
      <t>CONTROL 1:</t>
    </r>
    <r>
      <rPr>
        <sz val="11"/>
        <color rgb="FF000000"/>
        <rFont val="Times New Roman"/>
      </rPr>
      <t xml:space="preserve"> Se verificó la aplicación del control mediante la evidencia documental presentada, consistente en los </t>
    </r>
    <r>
      <rPr>
        <b/>
        <i/>
        <sz val="11"/>
        <color rgb="FF000000"/>
        <rFont val="Times New Roman"/>
      </rPr>
      <t>"INFORMES SEGUIMIENTO Y GESTIÓN COBRO RECONOCIMIENTO ECONÓMICO POR INCAPACIDADES"</t>
    </r>
    <r>
      <rPr>
        <sz val="11"/>
        <color rgb="FF000000"/>
        <rFont val="Times New Roman"/>
      </rPr>
      <t xml:space="preserve"> para los meses de Enero, Febrero, Marzo y Abril de la presente vigencia; que identifican las incapaciadades recibidas en el periodo, y cuales de ellas fueron objeto de cobro a las respectivas EPS por presentar más de dos (2) días de incapacidad. 
</t>
    </r>
    <r>
      <rPr>
        <b/>
        <sz val="11"/>
        <color rgb="FF000000"/>
        <rFont val="Times New Roman"/>
      </rPr>
      <t>No se ha presentado materialización del riesgo.</t>
    </r>
  </si>
  <si>
    <t xml:space="preserve"> </t>
  </si>
  <si>
    <t>BAJO</t>
  </si>
  <si>
    <t>Económico y Reputacional</t>
  </si>
  <si>
    <t>MODERADO</t>
  </si>
  <si>
    <t xml:space="preserve">Afectación mayor a 3000 SMLMV </t>
  </si>
  <si>
    <t>El riesgo afecta la imagen de la entidad internamente, de conocimiento general nivel interno, de junta directiva y/o de proveedores</t>
  </si>
  <si>
    <t>El riesgo afecta la imagen de la entidad con algunos usuarios de relevancia frente al logro de los objetivos.</t>
  </si>
  <si>
    <t>Correctivo</t>
  </si>
  <si>
    <t>Automático</t>
  </si>
  <si>
    <t>Sin documentar</t>
  </si>
  <si>
    <t>Sin registro</t>
  </si>
  <si>
    <t>GESTION AMBIENTAL</t>
  </si>
  <si>
    <t>Prevenir y/o mitigar los impactos ambientales generados por el desarrollo de las actividades misionales y administrativas en el IDIPRON a través del desarrollo de  planes, programas, acciones y controles operacionales que involucren a los NNAJ, funcionarios, contratistas y proveedores en las unidades de protección integral y sedes administrativas del instituto; con el fin de dar cumplimiento al marco normativo ambiental y políticas públicas ambientales distritales y nacionales.</t>
  </si>
  <si>
    <t>El proceso inicia con la identificación de aspectos, impactos ambientales y el marco normativo ambiental aplicable en las unidades de protección integral y sedes administrativas; siguiendo con la formulación e implementación de planes, programas, acciones y controles  operacionales para la prevención y mitigación de las afectaciones negativas al medio ambiente producidas por la ejecución de las actividades misionales y administrativas del instituto; finalizando con el seguimiento de los planes, programas, acciones, controles operacionales y reporte de avance que den cumplimiento al marco de la normatividad ambiental aplicable y al mejoramiento del desempeño ambiental de la Entidad.</t>
  </si>
  <si>
    <t>Multas y Sanciones</t>
  </si>
  <si>
    <t xml:space="preserve">Incumplimiento de los lineamientos legales y operacionales para realizar la gestión integral de todas las corrientes de residuos generadas en las sedes del IDIPRON </t>
  </si>
  <si>
    <t>Posibles afectaciones económicas por multas y sanciones de la autoridad ambiental debido al incumplimiento de los lineamientos legales y operacionales para realizar la gestión integral de todas las corrientes de residuos sólidos generados en las sedes del IDIPRON</t>
  </si>
  <si>
    <t>El/la responsable del proceso de Gestión Ambiental</t>
  </si>
  <si>
    <t>Trimestralmente</t>
  </si>
  <si>
    <t>Revisar y verificar la información referente a la recolección de residuos sólidos en el cual se incorporan las sedes generadoras</t>
  </si>
  <si>
    <t>Se consolida la información referente a la recolección de residuos sólidos en el cual se incorporan las sedes generadoras, la fecha en que se generó la recolección, la empresa que realizo la recolección, la certificación y/o manifiesto de recolección y la cantidad de kilogramos recogidos por cada una de las clases de residuos.</t>
  </si>
  <si>
    <t xml:space="preserve">Se solicita a través de correo electrónico el ajuste a los/as profesionales y/o técnicos/as del proceso de Gestión Ambiental que apoyan la supervisión de los contratos y/o acuerdos de corresponsabilidad para la recolección de residuos </t>
  </si>
  <si>
    <t xml:space="preserve">Consolidado Integral de Generación de Residuos A-GAM-FT-005
Correos electrónicos ( Cuando aplique) </t>
  </si>
  <si>
    <t>Manual de Gestión Integral de Residuos A-GAM-MA-002</t>
  </si>
  <si>
    <t>Realizar capacitaciones frente a los controles operacionales existentes en el Manual de Gestión Integral de Residuos  a los refrentes y responsables de las unidades de protección integral y sedes administrativas</t>
  </si>
  <si>
    <t xml:space="preserve"> Profesionales del Área de Gestión Ambiental</t>
  </si>
  <si>
    <t>Durante el periodo se diligencio por parte de la anterior contratista el formato A-GAM-FT-005 en el cual se consolida la información de los residuos Generados para el periodo comprendido, en donde para la vigencia 2026 se generaron 3349,12 kg de residuos en las sedes.de Enero, y en febrero se generaron 41472 Kg de residuos.</t>
  </si>
  <si>
    <t>La actividad se reportará en eun próximo seguimiento</t>
  </si>
  <si>
    <t>N/A</t>
  </si>
  <si>
    <t xml:space="preserve">
20/05/2026
Una vez revisada la evidencia aportada por el proceso se evidencia la correcta de ejecución del control, con el diligenciamiento de la matriz Consolidada Integral de Generación de Residuos.
Respecto a la ejecución de la acción de fortalecimiento el proceso no reportó ejecución de la misma, teniendo en cuenta el plazo establecido para el cumplimiento de la misma.
No hubo materialización del riesgo
&amp;</t>
  </si>
  <si>
    <r>
      <rPr>
        <b/>
        <sz val="11"/>
        <color rgb="FF000000"/>
        <rFont val="Times New Roman"/>
      </rPr>
      <t xml:space="preserve">CONTROL 1
</t>
    </r>
    <r>
      <rPr>
        <sz val="11"/>
        <color rgb="FF000000"/>
        <rFont val="Times New Roman"/>
      </rPr>
      <t xml:space="preserve">Se evidenció la ejecución de la actividad de control. Se verificó el formato A-GAM-FT-005 Programa de Gestión Integral de Residuos Sólidos correspondiente al periodo evaluado, con registros de seguimiento a la gestión de residuos sólidos debidamente diligenciados.
</t>
    </r>
    <r>
      <rPr>
        <b/>
        <sz val="11"/>
        <color rgb="FF000000"/>
        <rFont val="Times New Roman"/>
      </rPr>
      <t xml:space="preserve">ACCIONES PARA EL FORTALECIMIENTO DEL CONTROL
</t>
    </r>
    <r>
      <rPr>
        <sz val="11"/>
        <color rgb="FF000000"/>
        <rFont val="Times New Roman"/>
      </rPr>
      <t xml:space="preserve">No se aportó evidencia que dé cuenta de la ejecución de la acción de fortalecimiento. Se formuló la acción: capacitaciones en las unidades sobre gestión integral de residuos sólidos, con plazo al 30/08/2026. El plazo se encuentra vigente; se recomienda ejecutar y documentar oportunamente la capacitación dentro del término establecido.
</t>
    </r>
    <r>
      <rPr>
        <b/>
        <sz val="11"/>
        <color rgb="FF000000"/>
        <rFont val="Times New Roman"/>
      </rPr>
      <t xml:space="preserve">CONTROL 2
</t>
    </r>
    <r>
      <rPr>
        <sz val="11"/>
        <color rgb="FF000000"/>
        <rFont val="Times New Roman"/>
      </rPr>
      <t xml:space="preserve">Se evidenció la ejecución de la actividad de control. Se verificaron los documentos de las carpetas 1854 y 2041 que dan cuenta de la gestión y seguimiento realizados durante el periodo evaluado.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CONTROL 3
</t>
    </r>
    <r>
      <rPr>
        <sz val="11"/>
        <color rgb="FF000000"/>
        <rFont val="Times New Roman"/>
      </rPr>
      <t xml:space="preserve">Se evidenció la ejecución de la actividad de control. Se verificaron los manifiestos de recolección de residuos orgánicos de los meses de enero, febrero, marzo y abril de 2026, así como los manifiestos de residuos peligrosos (cadena de custodia) del periodo evaluado.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CONTROL 4
</t>
    </r>
    <r>
      <rPr>
        <sz val="11"/>
        <color rgb="FF000000"/>
        <rFont val="Times New Roman"/>
      </rPr>
      <t xml:space="preserve"> Se reportó que durante este periodo no se dio aplicación a la actividad de control. El proceso no allegó soportes de ejecución para este control en el periodo enero-abril 2026.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CONTROL 5
</t>
    </r>
    <r>
      <rPr>
        <sz val="11"/>
        <color rgb="FF000000"/>
        <rFont val="Times New Roman"/>
      </rPr>
      <t xml:space="preserve">La evidencia aportada no permite verificar la ejecución de la actividad de control de manera completa, debido a que únicamente se aportó el formato A-GAM-FT-007 correspondiente a la visita realizada a la UPI Servita, sin que se hayan allegado los registros de las demás visitas requeridas durante el periodo enero-abril 2026.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CONTROL 6
</t>
    </r>
    <r>
      <rPr>
        <sz val="11"/>
        <color rgb="FF000000"/>
        <rFont val="Times New Roman"/>
      </rPr>
      <t xml:space="preserve">Se reportó que durante este periodo no se dio aplicación a la actividad de control. El proceso no allegó soportes de ejecución para este control en el periodo enero-abril 2026.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CONTROL 7
</t>
    </r>
    <r>
      <rPr>
        <sz val="11"/>
        <color rgb="FF000000"/>
        <rFont val="Times New Roman"/>
      </rPr>
      <t xml:space="preserve">Se evidenció la ejecución de la actividad de control. Se verificaron los soportes correspondientes al periodo evaluado que dan cuenta del cumplimiento de la actividad.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NO SE HA MATERIALIZADO EL RIESGO
</t>
    </r>
    <r>
      <rPr>
        <sz val="11"/>
        <color rgb="FF000000"/>
        <rFont val="Times New Roman"/>
      </rPr>
      <t xml:space="preserve">No se reportó materialización del riesgo durante el periodo evaluado (N/A).
</t>
    </r>
    <r>
      <rPr>
        <b/>
        <sz val="11"/>
        <color rgb="FF000000"/>
        <rFont val="Times New Roman"/>
      </rPr>
      <t xml:space="preserve">RECOMENDACIONES
</t>
    </r>
    <r>
      <rPr>
        <sz val="11"/>
        <color rgb="FF000000"/>
        <rFont val="Times New Roman"/>
      </rPr>
      <t xml:space="preserve">Se recomienda al proceso: 1. Ejecutar y documentar la acción de fortalecimiento del Control 1 (capacitaciones sobre gestión integral de residuos sólidos) dentro del plazo establecido (30/08/2026), allegando los soportes correspondientes en el siguiente seguimiento; 2. Gestionar la ejecución y documentación completa de las visitas de seguimiento ambiental del Control 5, asegurando que se aporten evidencias de todas las UPIs requeridas; 3. Para los Controles 4 y 6, precisar si la no aplicación obedece a una condición operativa del periodo o a una omisión en la ejecución, con el fin de garantizar la trazabilidad del seguimiento.
</t>
    </r>
  </si>
  <si>
    <t>La Gerencia Administrativa</t>
  </si>
  <si>
    <t>Cada vigencia</t>
  </si>
  <si>
    <t xml:space="preserve">Verificar que se cuente con contratos vigentes para la disposición de los diferentes tipos de residuos. </t>
  </si>
  <si>
    <t>Se hace seguimiento a los contratos y a los acuerdos de corresponsabilidad en la vigencia, y mensualmente se generan las alertas correspondiente a los contratos.</t>
  </si>
  <si>
    <t>En caso de que se detecte que no se cuenta con el contrato vigente para la disposición de algún tipo de residuo, se procede a adelantar el respectivo proceso contractual</t>
  </si>
  <si>
    <t>Contratos firmados / Actas de modificación de adición y prórroga de los contratos
Plan anual de adquisiciones, requerimiento técnico y anexo técnico y la radicación del proceso contractual ante la Gerencia de Contratación.( Cuando aplique)</t>
  </si>
  <si>
    <t>Manual Gestión Integral de Residuos A-GAM-MA-002</t>
  </si>
  <si>
    <t>Durante el periodo se llevo a cabo de la ejecucion de los Contratos No. 2025-2041 y No. 2025-1854 relacionados con la gestion integral de residuos organicos y la gestion integral de residuos peligrosos y especiales.  Referente a la linea de resiudos aprovechables aun se trabaja en la elaboracion del Acuerdo de Corresponsabilidad y actualmente se encuentra en fase de reanalisis y ajuste.</t>
  </si>
  <si>
    <t>20/05/2026
Una vez revisadas las evidencias aportadas  por el proceso se evidencia la correcta de ejecución del control frente a la suscripción de los contratos  2025-2041 y No. 2025-1854 , los cuales se encargan de la gestion integral de residuos organicos y la gestion integral de residuos peligrosos y especiales
Respecto a la ejecución de la acción de fortalecimiento el proceso no reportó ejecución de la misma, teniendo en cuenta el plazo establecido para el cumplimiento de la misma.
No hubo materialización del riesgo
&amp;</t>
  </si>
  <si>
    <t xml:space="preserve">Los/as profesionales y/o técnicos que apoyan la supervisión de los contratos </t>
  </si>
  <si>
    <t>Mensualmente</t>
  </si>
  <si>
    <t>Validar que en las plataformas y/o correos electrónicos enviados por los proveedores, se encuentren los  manifiestos de recolección de residuos, así como los certificados de disposición final de los mismos</t>
  </si>
  <si>
    <t xml:space="preserve">Los/as proveedores/as que cuenten con plataformas virtuales, ponen a disposición el acceso para generar las solicitudes de recolección de residuos y para acceder a los manifiestos de recolección </t>
  </si>
  <si>
    <t>Se solicita al/la proveedor/a, por correo electrónico que se realice el cargue y/o envío de los manifiestos</t>
  </si>
  <si>
    <t xml:space="preserve">Manifiestos de recolección de residuos 
y/o Certificaciones emitidas
Correos electrónicos ( Cuando aplique)
</t>
  </si>
  <si>
    <t>Cláusulas de los contratos de los proveedores de servicios de recolección de residuos</t>
  </si>
  <si>
    <t>Se adjuntan los manifiestos de los servicios de recolección que prestaron las respectivas empresas gestoras de residuos organicos, hospitalarios, especiales.</t>
  </si>
  <si>
    <t>20/05/2026
Una vez revisadas las evidencias aportadas  por el proceso se evidencia la correcta de ejecución del control respecto a los manifiestos de recolección de residuos (organicos y peligrosos) que se realizaron durante el trimestre objeto de esta evalaucaión
Respecto a la ejecución de la acción de fortalecimiento el proceso no reportó ejecución de la misma, teniendo en cuenta el plazo establecido para el cumplimiento de la misma.
No hubo materialización del riesgo
&amp;</t>
  </si>
  <si>
    <t>Los profesionales, tecnólogos o técnicos del proceso de Gestión Ambiental</t>
  </si>
  <si>
    <t xml:space="preserve">Revisar y verificar que se estén aplicando los lineamientos establecidos en el Manual de Gestión Integral de Residuos A-GAM-MA-002 y el  Manual de Operaciones del Proceso de Gestión Ambiental  A-GAM-MA-004 </t>
  </si>
  <si>
    <t xml:space="preserve">Se realizan visita a todas las Unidades de Protección Integral, revisando la gestión adecuada de los residuos, de acuerdo con los lineamientos establecidos en el Manual de Gestión Integral de Residuos A-GAM-MA-002 y el  Manual de Operaciones del Proceso de Gestión Ambiental  A-GAM-MA-004 </t>
  </si>
  <si>
    <t>Se realizan las observaciones y recomendaciones en las actas de visita, para que las UPIS subsanen los lineamientos que no se estén implementando</t>
  </si>
  <si>
    <t xml:space="preserve">A-GOD-FT-004 ACTA /  A-GDH-FT-010 
REGISTRO DE ASISTENCIA COMITÉ, JUNTA, REUNION
</t>
  </si>
  <si>
    <t xml:space="preserve">Manual de Operaciones del Proceso de Gestión Ambiental  A-GAM-MA-004 </t>
  </si>
  <si>
    <t>Durante la vigencia no se realizo esta actividad ya que se priorizaron otras de mayor relevancia.</t>
  </si>
  <si>
    <t>20/05/2026
El proceso no realiza reporte de ejecución del control ni de la acción de fortalecimiento, teniendo en cuenta el plazo establecido para el cumplimiento de la misma. Teniendo en cuenta lo anterior no se puede evidenciar que el control se haya aplicado
No hubo materialización del riesgo
&amp;</t>
  </si>
  <si>
    <t xml:space="preserve">Los/as profesionales del área de Gestión Ambiental </t>
  </si>
  <si>
    <t>Semestral</t>
  </si>
  <si>
    <t>Verificar el cumplimiento de la normatividad ambiental relacionada con los residuos sólidos, los resultados de las visitas son registrados en los formatos A-GAM-FT 014 y A-GAM-FT 007.</t>
  </si>
  <si>
    <t>Se realizan 2 visitas de diagnóstico y 2 visitas de seguimiento ambiental a todas las Upis y Sedes Administrativas en el transcurso de la vigencia (Que se encuentren activas y en operación)</t>
  </si>
  <si>
    <t>Se registran en los formatos, los incumplimientos y se determina una fecha para subsanación</t>
  </si>
  <si>
    <t>Formatos: A-GAM-FT 014 Seguimiento a Programas PIGA y Manual de Saneamiento Básico
 A-GDO-FT-004 Acta de Visita y/o A-GAM-FT-007 Informe de gestión ambiental a sedes y/o unidades, seguimiento a de acuerdo con el procedimiento de A-GAM-PR-002</t>
  </si>
  <si>
    <t>Procedimiento Seguimiento Ambiental A-GAM-PR-003</t>
  </si>
  <si>
    <t xml:space="preserve">Durante la Vigencia el equipo ambiental realizo una (1) visita en donde se evidenció las necesidades frente a la gestión de residuos; esto teniendo en cuenta que el equipo técnico ambiental en dicho periodo se vió reducido a tres personas (de las cuales una cedio el contrato); por lo que se priorizó la estructuración de documentos asociados a los nuevos procesos contractuales necesarios para el adecuado funcionamiento de las sedes en materia ambiental y a los aun en ejecucion.
</t>
  </si>
  <si>
    <t>20/05/2026
El proceso reporta la realización de una visita de las dos que se tiene programadas, para realizar la inspección ambiental en  las UPIS, por cuanto se da cumplimien parcial a la acción. Sin embargo es importante mencionar que la  frecuencia de medición de la acción tiene periodicidad semestral por lo que se podría completar su ejecución en los meses que restan para finalizar el primer semestre del años.
Respecto de fortalecimiento, el proceso no reporta ejecución, teniendo en cuenta el plazo establecido para el cumplimiento de la misma.
No hubo materialización del riesgo
&amp;</t>
  </si>
  <si>
    <t>Los/as profesionales y/o técnicos del área de gestión ambiental</t>
  </si>
  <si>
    <t>En el momento en que se detecta una disposición de residuos inadecuada</t>
  </si>
  <si>
    <t>Validar la recolección de los residuos y su disposición de acuerdo con los lineamientos establecidos en el  Manual de Gestión Integral de Residuos A-GAM-MA-002</t>
  </si>
  <si>
    <t>Se realiza visitas de inspección a la UPI o sede administrativa realizando un seguimiento frecuente para evitar que se sigan presentando las situaciones detectadas</t>
  </si>
  <si>
    <t>Se dejan las observaciones en el formato A-GDO-FT-004 Acta de Visita
A-GDH-FT-010 Registro de Asistencia Comité, Junta, Reunión</t>
  </si>
  <si>
    <t>A-GDO-FT-004 Acta de Visita /  A-GDH-FT-010 Registro de Asistencia Comité, Junta, Reunión</t>
  </si>
  <si>
    <t>El comité estructurador</t>
  </si>
  <si>
    <t>Cada vez que se adelante proceso de estructuración de los contratos de gestión de residuos</t>
  </si>
  <si>
    <t>Verificar la inclusión de los amparos exigidos a los proponentes, la suscripción de tomas de aseguramiento relacionadas con la calidad del servicio, cumplimiento a las obligaciones contractuales y la responsabilidad civil extracontractual frente a la posible mala gestión de los residuos</t>
  </si>
  <si>
    <t>Se verifica que en los estudios previos, se encuentren como requisito la constitución de pólizas de amparo por cada uno de los ítems solicitados.</t>
  </si>
  <si>
    <t>Se le envía correo electrónico a la gerencia de contratación y al comité estructurador para que se incluyan los amparos correspondientes</t>
  </si>
  <si>
    <t xml:space="preserve">Contratos de recolección de residuos en los cuales se establece la constitución de pólizas de amparo / Pólizas de amparo 
Correo electrónico (Cuando aplique)
</t>
  </si>
  <si>
    <t>Manual de contratación</t>
  </si>
  <si>
    <t>En los procesos contractuales vigentes (No. 2041 y No. 1854), se incluyeron las polizas que incluyen los amparon rqueridos</t>
  </si>
  <si>
    <t>20/05/2026
El proceso reporta la suscripción de 2 contratos durante la vigencia 2025, en los cuales se evidencia la obligatoriedad de suscripción de las garantías de acuerdo a cada caso, por lo cual se da cumplimiento al control establecido.
Respecto de fortalecimiento, el proceso no reporta ejecución, teniendo en cuenta el plazo establecido para el cumplimiento de la misma.
No hubo materialización del riesgo
&amp;</t>
  </si>
  <si>
    <t xml:space="preserve">Incumplimiento de los lineamientos legales y operacionales para realizar los vertimientos a las redes de alcantarillado y/o fuentes hídricas   generados en las sedes del IDIPRON </t>
  </si>
  <si>
    <t xml:space="preserve">Posibles afectaciones económicas por multas y sanciones de la autoridad ambiental debido al incumplimiento de los lineamientos legales y operacionales para realizar los vertimientos a las redes de alcantarillado y/o fuentes hídricas   generados en las sedes del IDIPRON </t>
  </si>
  <si>
    <t>Los/as referentes y responsables PIGA de cada Unidad de Protección Integral y/o sede administrativa</t>
  </si>
  <si>
    <t xml:space="preserve">Cada vez que se requiera hacer la recolección de los residuos líquidos y acuosos
</t>
  </si>
  <si>
    <t xml:space="preserve">Verificar el tipo de residuos (orgánicos y/o peligrosos) que se está generando en la UPI y/o sede administrativa  </t>
  </si>
  <si>
    <t xml:space="preserve">Se realizan visitas a las áreas de cocina como a los talleres de formación para identificar la necesidad de generar las solicitudes de recolección de residuos acuosos o líquidos (orgánicos y/o peligrosos), y proceden a realizar las solicitudes  a través de la mesa de ayuda en los servicios de recolección de los residuos, limpieza de trampas de grasa y pozos sépticos </t>
  </si>
  <si>
    <t>En el caso de que no se haya realizado la solicitud de recolección, los/as profesionales y/o técnicos responsables de la gestión ambiental, dejarán las observaciones en las actas de visita que se realizan de manera mensual en las unidades y su recomendación de radicar la solicitud en la mesa de ayuda.</t>
  </si>
  <si>
    <t>Reporte de la Mesa de Ayuda con la solicitud de recolección de residuos, limpieza de trampas de grasa y limpieza de pozos sépticos
Acta de visita ( Cuando aplique)</t>
  </si>
  <si>
    <t xml:space="preserve">Manual de Saneamiento Básico  A-GAM-MA-001 / Manual de Gestión Integral de Residuos A-GAM-MA-002  e Instructivo de Mesa de Ayuda A-GAM-IN-001 </t>
  </si>
  <si>
    <t>Realizar capacitaciones en las unidades en donde existen riesgo de vertimientos (por ejemplo comedores o donde se dictan talleres industriales como mantenimiento de motos, mantenimiento de vehículos, serigrafia, belleza, vitrales, mantenimiento de bicicletas, etc.) sobre el manejo de los residuos líquidos a fuentes hídricas</t>
  </si>
  <si>
    <t>Profesionales del Área de Gestión Ambiental</t>
  </si>
  <si>
    <t>Durante el periodo se tramitaron los diferentes requerimientos ambientales solicitados mediante el Aplicativo Aranda, sin embargo; estas solicitudes no corresponden a todas las gestionadas ya que muchas de estas fueron solicitadas por correo electronico ya que el aplicativo en ocasiones presentó inconsistencias.</t>
  </si>
  <si>
    <t>La actividad se reportará en un próximo seguimiento</t>
  </si>
  <si>
    <t>20/05/2026
Se realizó la revisión de la matriz allegada por el proceso en donde se evidencia el diligenciamiento de la Mesa de Ayuda con la solicitud de recolección de residuos para el periodo objeto de evlacaición, por tanto se establece elcorrecto cumplimiento del control.
Respecto de fortalecimiento, el proceso no reporta ejecución, teniendo en cuenta el plazo establecido para el cumplimiento de la misma.
No hubo materialización del riesgo
&amp;</t>
  </si>
  <si>
    <r>
      <rPr>
        <b/>
        <sz val="11"/>
        <color rgb="FF000000"/>
        <rFont val="Times New Roman"/>
      </rPr>
      <t xml:space="preserve">CONTROL 1
</t>
    </r>
    <r>
      <rPr>
        <sz val="11"/>
        <color rgb="FF000000"/>
        <rFont val="Times New Roman"/>
      </rPr>
      <t xml:space="preserve">Se evidenció la ejecución de la actividad de control. Se verificó el reporte de casos tramitados mediante el Aplicativo Aranda durante el periodo del 1 de enero al 30 de abril de 2026, con un total de 538 registros de solicitudes de gestión ambiental. El proceso indicó que algunas solicitudes fueron tramitadas por correo electrónico debido a inconsistencias presentadas en el aplicativo.
</t>
    </r>
    <r>
      <rPr>
        <b/>
        <sz val="11"/>
        <color rgb="FF000000"/>
        <rFont val="Times New Roman"/>
      </rPr>
      <t xml:space="preserve">ACCIONES PARA EL FORTALECIMIENTO DEL CONTROL
</t>
    </r>
    <r>
      <rPr>
        <sz val="11"/>
        <color rgb="FF000000"/>
        <rFont val="Times New Roman"/>
      </rPr>
      <t xml:space="preserve">No se aportó evidencia que dé cuenta de la ejecución de la acción de fortalecimiento. Se formuló la acción: capacitaciones en las unidades sobre manejo de residuos líquidos a fuentes hídricas, con plazo al 30/12/2026. El plazo se encuentra vigente; se recomienda adelantar y documentar oportunamente las capacitaciones dentro del término establecido.
</t>
    </r>
    <r>
      <rPr>
        <b/>
        <sz val="11"/>
        <color rgb="FF000000"/>
        <rFont val="Times New Roman"/>
      </rPr>
      <t xml:space="preserve">CONTROL 2
</t>
    </r>
    <r>
      <rPr>
        <sz val="11"/>
        <color rgb="FF000000"/>
        <rFont val="Times New Roman"/>
      </rPr>
      <t xml:space="preserve">La evidencia aportada no permite verificar la ejecución completa de la actividad de control, debido a que únicamente se aportaron los informes de caracterización de agua residual de la </t>
    </r>
    <r>
      <rPr>
        <b/>
        <sz val="11"/>
        <color rgb="FF000000"/>
        <rFont val="Times New Roman"/>
      </rPr>
      <t xml:space="preserve">UPI Perdomo (análisis 15/04/2026) </t>
    </r>
    <r>
      <rPr>
        <sz val="11"/>
        <color rgb="FF000000"/>
        <rFont val="Times New Roman"/>
      </rPr>
      <t xml:space="preserve">y la </t>
    </r>
    <r>
      <rPr>
        <b/>
        <sz val="11"/>
        <color rgb="FF000000"/>
        <rFont val="Times New Roman"/>
      </rPr>
      <t>UPI Santa Lucía (análisis 20/03/2026 y 27/03/2026)</t>
    </r>
    <r>
      <rPr>
        <sz val="11"/>
        <color rgb="FF000000"/>
        <rFont val="Times New Roman"/>
      </rPr>
      <t xml:space="preserve">, sin que se hayan allegado los registros de las demás UPIs vinculadas al contrato. El proceso manifestó haber solicitado al contratista las evidencias faltantes, encontrándose a la espera de su recepción a la fecha del reporte.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MATERIALIZACIÓN DEL RIESGO
</t>
    </r>
    <r>
      <rPr>
        <sz val="11"/>
        <color rgb="FF000000"/>
        <rFont val="Times New Roman"/>
      </rPr>
      <t xml:space="preserve">El proceso indicó que la información sobre materialización del riesgo se reportará en un próximo seguimiento, por lo que no es posible verificar este aspecto en el presente periodo.
</t>
    </r>
    <r>
      <rPr>
        <b/>
        <sz val="11"/>
        <color rgb="FF000000"/>
        <rFont val="Times New Roman"/>
      </rPr>
      <t xml:space="preserve">RECOMENDACIONES
</t>
    </r>
    <r>
      <rPr>
        <sz val="11"/>
        <color rgb="FF000000"/>
        <rFont val="Times New Roman"/>
      </rPr>
      <t>Se recomienda al proceso: 1. Gestionar con el contratista la entrega oportuna de los informes de caracterización de agua residual faltantes para las demás UPIs vinculadas al contrato, y allegarlos en el siguiente seguimiento; 2. Garantizar que la totalidad de las solicitudes ambientales sean registradas en el Aplicativo Aranda, evitando la gestión por correo electrónico que dificulta el trazado y seguimiento de los requerimientos; 3. Adelantar la acción de fortalecimiento del Control 1  mediante capacitaciones dentro del plazo establecido 30/12/2026 ; 4. Reportar en el siguiente seguimiento la información sobre materialización del riesgo.</t>
    </r>
  </si>
  <si>
    <t>El/la profesional y/o técnico que apoya la supervisión del contrato</t>
  </si>
  <si>
    <t>Anualmente</t>
  </si>
  <si>
    <t xml:space="preserve">Verificar en los informes de resultados de caracterización de aguas residuales si se cumplen con los parámetros establecidos en las Resoluciones 631 de 2015 y  3957 de 2009 para el vertimiento de aguas a redes de alcantarillado. </t>
  </si>
  <si>
    <t>Se revisan los informes de resultados suministrados por el proveedor contratado para realizar el análisis y caracterización de aguas residuales, para identificar el cumplimiento de los parámetros de las resoluciones señaladas</t>
  </si>
  <si>
    <t>En el momento en que se detecta un vertimiento por fuera de los parámetros establecidos, realiza la intervención de la upi o sede administrativa para identificar las razones que generan los resultados obtenidos y  proponer  los controles operativos y/o de  infraestructura  para  lograr que la caracterización del agua cumpla con los parámetros establecidos en las resoluciones de vertimientos</t>
  </si>
  <si>
    <t>Informes de resultados
Acta de visita ( Cuando aplique)</t>
  </si>
  <si>
    <t>Manual de Saneamiento Básico  A-GAM-MA-001</t>
  </si>
  <si>
    <t>Informe s de resultados</t>
  </si>
  <si>
    <t>Durante el periodo se finalizo la caracterizacion de agua residual de las UPIS vinculadas en el Contrato; sin embargo, se adjunta unicamente la evidencia de los informes de resultados de las UPI Perdomo y UPI Santa Lucia ya que no se encontro registro de los demas. Se solicito al contratista las evidencias y a la fecha del reporte nos encontramos a la espera de la entrega de los demas reportes.</t>
  </si>
  <si>
    <t>20/05/2026
El proceso allega dos informes de caracterización de aguas residuales de las UPIS de Perdomo y Santa Lucia, realizados dentro del periodo objeto de esta revisión,, manifestabdo que se solicitó al contratista los reportes de las demas sedes, sin embargo no se registran evidencias de esas solicitudes por cuanto la acción estaria cumpliendo de manera parcial.
Respecto de fortalecimiento, el proceso no reporta ejecución, teniendo en cuenta el plazo establecido para el cumplimiento de la misma.
No hubo materialización del riesgo
&amp;</t>
  </si>
  <si>
    <t xml:space="preserve">Incumplimiento de los lineamientos legales y operacionales por realización de intervenciones forestales sin  contar con los permisos sin autorización de la autoridad ambiental   </t>
  </si>
  <si>
    <t xml:space="preserve">Posibles afectaciones económicas por multas y sanciones debido al incumplimiento de los lineamientos legales y operacionales por realización de intervenciones forestales sin  contar con los permisos y/o autorización de la autoridad ambiental   </t>
  </si>
  <si>
    <t>Los/as profesionales, tecnólogos o técnicos del proceso de Gestión Ambiental</t>
  </si>
  <si>
    <t>Revisar el estado de los árboles para identificar posibles riesgos de caída que puedan afectar la infraestructura y/o poner en riesgo la vida de los NNAJ de las Unidades de Protección Integral.</t>
  </si>
  <si>
    <t>A través de las visitas mensuales, se realiza una inspección del estado fitosanitario de los árboles, para identificar los posibles riesgos de caída</t>
  </si>
  <si>
    <t>De manera aleatoria, se revisan los registros de las actas de visita, y se envía un correo electrónico al/la profesional con la observación de que no se evidencia ningún reporte relacionado con inspección forestal</t>
  </si>
  <si>
    <t>A-GOD-FT-004 ACTA /  A-GDH-FT-010 
REGISTRO DE ASISTENCIA COMITÉ, JUNTA, REUNION 
Correos electrónicos ( Cuando aplique)</t>
  </si>
  <si>
    <t>Manual de Operaciones del Proceso de Gestión Ambiental  A-GAM-MA-004</t>
  </si>
  <si>
    <t xml:space="preserve">Realizar una capacitación frente a los controles operacionales existentes en el Instructivo de Aprovechamiento Forestal  a los referentes y responsables de las unidades de protección integral  rurales </t>
  </si>
  <si>
    <t>Durante el periodo no se realizaron visitas a las sedes que son suseptibles de aprovechamiento forestal, sin embargo durante el periodo se avanza em la estructuracion del proceso contractual para aprovechamiento forestal en las unidades una vez finalice el actual.</t>
  </si>
  <si>
    <t xml:space="preserve">
20/05/2026
El proceso no realiza reporte de ejecución del control ni de la acción de fortalecimiento, teniendo en cuenta el plazo establecido para el cumplimiento de la misma.
No hubo materialización del riesgo
&amp;</t>
  </si>
  <si>
    <r>
      <rPr>
        <b/>
        <sz val="11"/>
        <color rgb="FF000000"/>
        <rFont val="Times New Roman"/>
      </rPr>
      <t xml:space="preserve">CONTROL 1
</t>
    </r>
    <r>
      <rPr>
        <sz val="11"/>
        <color rgb="FF000000"/>
        <rFont val="Times New Roman"/>
      </rPr>
      <t xml:space="preserve">Se reportó que durante este periodo no se dio aplicación a la actividad de control. El proceso indicó que no se realizaron visitas a sedes susceptibles de aprovechamiento forestal en el periodo enero-abril 2026, dado que se avanza en la estructuración del nuevo proceso contractual; la actividad se reportará en un próximo seguimiento.
</t>
    </r>
    <r>
      <rPr>
        <b/>
        <sz val="11"/>
        <color rgb="FF000000"/>
        <rFont val="Times New Roman"/>
      </rPr>
      <t xml:space="preserve">ACCIONES PARA EL FORTALECIMIENTO DEL CONTROL
</t>
    </r>
    <r>
      <rPr>
        <sz val="11"/>
        <color rgb="FF000000"/>
        <rFont val="Times New Roman"/>
      </rPr>
      <t xml:space="preserve">No se aportó evidencia que dé cuenta de la ejecución de la acción de fortalecimiento. Se formuló la acción: capacitación a referentes y responsables de UPIS rurales sobre el Instructivo de Aprovechamiento Forestal A-GAM-IN-002, con plazo al 31/12/2026. El plazo se encuentra vigente; se recomienda adelantar y documentar oportunamente la capacitación dentro del término establecido.
</t>
    </r>
    <r>
      <rPr>
        <b/>
        <sz val="11"/>
        <color rgb="FF000000"/>
        <rFont val="Times New Roman"/>
      </rPr>
      <t xml:space="preserve">CONTROL 2
</t>
    </r>
    <r>
      <rPr>
        <sz val="11"/>
        <color rgb="FF000000"/>
        <rFont val="Times New Roman"/>
      </rPr>
      <t xml:space="preserve">Se reportó que durante este periodo no se tramitaron permisos de aprovechamiento forestal. El proceso indicó que se continúa con la ejecución de solicitudes anteriormente tramitadas.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CONTROL 3
</t>
    </r>
    <r>
      <rPr>
        <sz val="11"/>
        <color rgb="FF000000"/>
        <rFont val="Times New Roman"/>
      </rPr>
      <t xml:space="preserve">La evidencia aportada no permite verificar la ejecución de la actividad de control, debido a que los documentos allegados : clausulado complementario, acta de inicio del 24/11/2025 y modificatorio No. 1 del Contrato 2025-2142 suscrito con ECOFLORA S.A.S. corresponden a documentos contractuales que acreditan la existencia y vigencia del contrato, pero no aportan soportes de las actividades de aprovechamiento y compensación forestal ejecutadas durante el periodo enero-abril 2026.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CONTROL 4
</t>
    </r>
    <r>
      <rPr>
        <sz val="11"/>
        <color rgb="FF000000"/>
        <rFont val="Times New Roman"/>
      </rPr>
      <t xml:space="preserve">La evidencia aportada no permite verificar la ejecución de la actividad de control, debido a que los documentos allegados : clausulado complementario, acta de inicio del 24/11/2025 y modificatorio No. 1 del Contrato 2025-2142 con ECOFLORA S.A.S. son los mismos aportados para el Control 3 y corresponden a documentos contractuales, sin que se hayan allegado soportes de actividades de compensación forestal ejecutadas en el periodo enero-abril 2026.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NO SE HA MATERIALIZADO EL RIESGO
</t>
    </r>
    <r>
      <rPr>
        <sz val="11"/>
        <color rgb="FF000000"/>
        <rFont val="Times New Roman"/>
      </rPr>
      <t xml:space="preserve">No se reportó materialización del riesgo durante el periodo evaluado 
</t>
    </r>
    <r>
      <rPr>
        <b/>
        <sz val="11"/>
        <color rgb="FF000000"/>
        <rFont val="Times New Roman"/>
      </rPr>
      <t xml:space="preserve">RECOMENDACIONES
</t>
    </r>
    <r>
      <rPr>
        <sz val="11"/>
        <color rgb="FF000000"/>
        <rFont val="Times New Roman"/>
      </rPr>
      <t>Se recomienda al proceso: 1. Para el siguiente seguimiento, aportar evidencias de las actividades de aprovechamiento y compensación forestal ejecutadas en el marco del Contrato 2025-2142 con ECOFLORA S.A.S.  como informes de intervención, actas de campo o registros fotográficos que permitan verificar la ejecución de los Controles 3 y 4;  2. Documentar y reportar las visitas a sedes susceptibles de aprovechamiento forestal Control 1 y los trámites de permisos ambientales del Control 2 en el siguiente periodo de seguimiento; 3. Ejecutar y documentar la acción de fortalecimiento del Control 1 capacitación a referentes de UPIS rurales dentro del plazo establecido 31/12/2026, allegando los soportes en el siguiente seguimiento.</t>
    </r>
  </si>
  <si>
    <t>Los profesionales y/o técnicos de gestión ambiental</t>
  </si>
  <si>
    <t>Cada vez que ocurra un evento asociado al aprovechamiento forestal.</t>
  </si>
  <si>
    <t>Realizar el trámite de aprovechamiento forestal con la autoridad ambiental respectivo para obtener el permiso de aprovechamiento forestal:</t>
  </si>
  <si>
    <t xml:space="preserve">De acuerdo con los lineamientos establecidos por cada autoridad competente, se realiza el trámite </t>
  </si>
  <si>
    <t xml:space="preserve">En el caso de que no se obtenga el permiso por errores en el trámite, se realizan las subsanaciones correspondientes </t>
  </si>
  <si>
    <t>Oficios y/o constancias de radicación del trámite del permiso</t>
  </si>
  <si>
    <t>Instructivo de Aprovechamiento Forestal  A-GAM-IN-002</t>
  </si>
  <si>
    <t>Durante el periodo no se tramitó un permisos de aprovechamiento forestal, sin embargo; se continua con la ejecucion de las solicitudes anteriormente tramitadas.</t>
  </si>
  <si>
    <t xml:space="preserve">
20/05/2026
El proceso no realiza reporte de ejecución del control ni de la acción de fortalecimiento, teniendo en cuenta el plazo establecido para el cumplimiento de la misma.
No hubo materialización del riesgo
&amp;</t>
  </si>
  <si>
    <t>El /la Gerente Administrativo/a</t>
  </si>
  <si>
    <t>Cada vez que se requiera realizar aprovechamiento forestal en las Unidades</t>
  </si>
  <si>
    <t>Gestionar los recursos necesarios para la contratación del corte y siembra de los árboles autorizados por la autoridad ambiental.</t>
  </si>
  <si>
    <t>Se eleva la necesidad de contratación para realizar el aprovechamiento forestal identificado</t>
  </si>
  <si>
    <t>En el caso de que  no se gestione oportunamente los recursos y se adelante el contrato, se generan reprocesos en el trámite del permiso</t>
  </si>
  <si>
    <t>Contratos firmados
Oficios de solicitud de inicio del trámite ( Cuando aplique)</t>
  </si>
  <si>
    <t>Aprovechamiento Forestal  A-GAM-IN-002</t>
  </si>
  <si>
    <t xml:space="preserve">Durante el mes de noviembre 2025 se subscribió el contrato 2025-2142 Para PRESTAR EL SERVICIO PARA REALIZAR EL APROVECHAMIENTO Y COMPENSACIÓN FORESTAL EN LAS SEDES QUE SE ENCUENTREN BAJO RESPONSABILIDAD DEL IDIPRON. </t>
  </si>
  <si>
    <t xml:space="preserve">
20/05/2026
Una vez revisada la evidencua allegada por e l proceso se verifica la correcta ejecución del control , mediante la suscripción del contrato que establece el aprovechamiento forestal
Respecto a  la acción de fortalecimiento, no se reporta su ejecuión  teniendo en cuenta el plazo establecido para el cumplimiento de la misma.
No hubo materialización del riesgo
&amp;</t>
  </si>
  <si>
    <t>Cada vez que se adelante proceso de estructuración de aprovechamiento forestal</t>
  </si>
  <si>
    <t>Verificar la inclusión de los amparos exigidos a los proponentes, la suscripción de tomas de aseguramiento relacionadas con la calidad del servicio, cumplimiento a las obligaciones contractuales y la responsabilidad civil extracontractual frente a la posible mala gestión al realizar el aprovechamiento forestal</t>
  </si>
  <si>
    <t>Contratos de aprovechamiento y compensación forestal en los cuales se establece la constitución de pólizas de amparo / Pólizas de amparo 
Correo electrónico (Cuando aplique)</t>
  </si>
  <si>
    <t>12</t>
  </si>
  <si>
    <t>1 DE 2</t>
  </si>
  <si>
    <t>GESTION JURIDICA</t>
  </si>
  <si>
    <t>Proteger los intereses y representar a la Entidad en los procesos judiciales, extrajudiciales y /o Administrativos en los que es demandada o demandante a través de la asesoría, asistencia y apoyo en la Defensa Jurídica del Instituto y brindar asesoría jurídica a la Dirección General y a todas las dependencias del IDIPRON que así lo requieran; emitiendo conceptos jurídicos que contribuyan en la conservación de los intereses institucionales</t>
  </si>
  <si>
    <t>Inicia desde la atención a consultas jurídicas, solicitud de proyección de actos administrativos y/o la recepción de notificaciones de inicio de actuaciones administrativos, procesos judiciales o extrajudiciales en contra o por parte de la Entidad y requerimientos de las autoridades; culmina con la emisión de conceptos jurídicos, actos administrativos y la respuesta y actuación en los procesos en los cuales es parte.</t>
  </si>
  <si>
    <t>Condena judicial en contra de la entidad</t>
  </si>
  <si>
    <t>Omisión de defensa técnica del proceso judicial por parte del abogado asignado.</t>
  </si>
  <si>
    <t>Posibilidad de afectación económica por condena judicial en contra de la entidad ocasionada por la omisión de defensa técnica del proceso judicial por parte del abogado asignado.</t>
  </si>
  <si>
    <t>El / la Jefe de la Oficina Jurídica.</t>
  </si>
  <si>
    <t>Cada vez que se ajuste la política distrital del daño antijurídico.</t>
  </si>
  <si>
    <t>Verificar que se hayan adoptado los lineamientos de ajuste de la política del daño antijuridico.</t>
  </si>
  <si>
    <t>De acuerdo con los lineamientos se revisa en el proceso las modificaciones, se ajustan los documentos y se socializan al interior de la Entidad.</t>
  </si>
  <si>
    <t>Se realiza la revisión pertinente y se ajusta a los lineamientos requeridos.</t>
  </si>
  <si>
    <t xml:space="preserve">Acto Administrativo que adopta la Política Distrital
Acta de comité de conciliación en donde es aprobada y socializada la política
</t>
  </si>
  <si>
    <t>Directiva 006 de 09 junio 2022</t>
  </si>
  <si>
    <t xml:space="preserve">Fortalecer los mecanismos de supervisión sobre la gestión de los procesos judiciales asignados, mediante la implementación de reportes periódicos de avance que se llevaran a cabo a través de comités de revisión de casos semestralemente. </t>
  </si>
  <si>
    <t>Jefe Oficina Jurídica</t>
  </si>
  <si>
    <t>Se realizó modificación de la Política de Daño Antijurídico de la entidad, la cual fue aprobada por el Comité de Conciliación el día 17/03/2026.
Se realizará una nueva sesión de Comité de Conciliación, en la que se aprobarán las modificaciones que fueron hechas a la Política, para cumplir con los lineamientos de la Oficina Asesora de Planeación y así proceder a su adopción mediante acto administrativo y su posterior socialización.
Se anexa acta de Comité de Conciliación, Política del Daño Antijurídico y correo de oficialización</t>
  </si>
  <si>
    <t>Se efectuará de acuerdo con la fecha de implementacion formulada.</t>
  </si>
  <si>
    <t>No se materializó el riesgo</t>
  </si>
  <si>
    <t>19/05/2026
Una vez revisadas las evidencias allegadas por el proceso se verifica que la actualización y oficialización que se realizó a la Política del daño Antijurídico.
&amp;
En cuanto a la accion de fortalecimiento, el proceso no reporta aaciones teniendo en cuenta que el plazo de la misma está definida con corte al 30/06/2026.
No se materializó el riesgo.</t>
  </si>
  <si>
    <t>01/06/2026
CONTROL No. 1: Se evidenció la ejecución de la actividad de control, al aportar la Política de Prevención del Daño Antijurídico. junto con el acta del comite de conciliacion de fecha 17 de marzo de 2026, por medio de la cual fue aprobada.
No se presento evidencias del cumplimiento de la acción de fortalecimiento aunque tiene plazo maximo de presentar el día 30/06/2026.
No se materializo el daño
RECOMENDACIONES: Se recomienda continuar con la ejecución del control, y realizar la accion de fortalecimiento con el fin de mitiagar la materialización del daño</t>
  </si>
  <si>
    <t>Los/as abogados/as a cargo de los procesos judiciales y extrajudiciales.</t>
  </si>
  <si>
    <t xml:space="preserve">Revisar el estado de los procesos judiciales </t>
  </si>
  <si>
    <t>Hacen seguimiento a los procesos judiciales, revisando el estado de los procesos a través del aplicativo de la rama judicial o sistema de seguimiento de procesos.</t>
  </si>
  <si>
    <t>En caso de que se encuentre una novedad, se realizaran las acciones pertinentes y se reportan en el SIPROJ.</t>
  </si>
  <si>
    <t>Informes de contingente judicial y/o captura de pantalla de la revisión realizada.</t>
  </si>
  <si>
    <t xml:space="preserve">Procedimiento Defensa Judicial A-GJU-PR-002
Acción de Tutela A-GJU-PR-003 </t>
  </si>
  <si>
    <t>Se realizó seguimiento mensual al estado de los procesos judiciales, a través del aplicativo de la rama judicial y del sistema de seguimiento de procesos, para lo cual se anexan actas de seguimiento en la que consta que se efectuó la verificación con el aplicativo de la rama judicial, informe contingente judicial y se anexan capturas de pantalla del SIPROJWEB.</t>
  </si>
  <si>
    <t>19/05/2026
Una vez revisadas las evidencias allegadas por el proceso, se verifica el cumplimiento del control establecdido, a traves de la matríz de  Informe de contingente judicial y las capturas de pantalla de la revisión realizada en el aplicativo SIPROJ WEB.
&amp;
En cuanto a la accion de fortalecimiento, el proceso no reporta aaciones teniendo en cuenta que el plazo de la misma está definida con corte al 30/06/2026.
No se materializó el riesgo.</t>
  </si>
  <si>
    <t>01/06/2026
CONTROL No. 2: Se evidenció la ejecución de la actividad de control, al aportar las actas de revisión judical  mensual realizada junto con los pantallazos de seguimeinto en el aplicativo SIPROJ WEB.
No se presento evidencias del cumplimiento de la acción de fortalecimiento aunque tiene plazo maximo de presentar el día 30/06/2026.
No se materializo el daño
RECOMENDACIONES: Se recomienda continuar con la ejecución del control, y realizar la accion de fortalecimiento con el fin de mitiagar la materialización del daño</t>
  </si>
  <si>
    <t>El/la Supervisor/a de los contratos de abogados/as externos.</t>
  </si>
  <si>
    <t>Mensualmente.</t>
  </si>
  <si>
    <t>Verificar que se realice el seguimiento a las obligaciones de los contratos del personal del proceso.</t>
  </si>
  <si>
    <t>Realizar el seguimiento a la ejecución del contrato de acuerdo con lo establecidos en las obligaciones contractuales y deja constancia en el informe de actividades.</t>
  </si>
  <si>
    <t>Realizar un requerimiento a través de correo electrónico para que se cumpla con la obligación contractual o sustente porqué no se realizó la obligación contractual durante ese periodo</t>
  </si>
  <si>
    <t>Informes presentados al supervisor para aprobación
Correos electrónicos (Cuando aplique).</t>
  </si>
  <si>
    <t xml:space="preserve">Manual de Supervisión e Interventoría
Procedimiento Defensa Judicial A-GJU-PR-002
Acción de Tutela A-GJU-PR-003 </t>
  </si>
  <si>
    <t>Se realizó el seguimiento a la ejecución de los contratos de los servidores de la Oficina Jurídica, de acuerdo con lo establecido en las obligaciones contractuales.
Se anexan informes de actividades presentados en este periodo por de cada uno de los contratistas de la Oficina Jurídica.</t>
  </si>
  <si>
    <t xml:space="preserve">
19/05/2026
Una vez revisadas las evidencias aportadas por el proceso se evidencia el cumplimiento del control, toda vez que se allegaron los informes de ejecuión Contractual de las personas de la Oficina Jurídica.
En cuanto a la accion de fortalecimiento, el proceso no reporta acciones teniendo en cuenta que el plazo de la misma está definida con corte al 30/06/2026.
No se materializó el riesgo.</t>
  </si>
  <si>
    <t>01/06/2026
CONTROL No. 3: Se evidenció la ejecución de la actividad de control, al aportar los informes de supervision de los contratistas de la Oficina Jurídica.
No se presento evidencias del cumplimiento de la acción de fortalecimiento aunque tiene plazo maximo de presentar el día 30/06/2026.
No se materializo el daño
RECOMENDACIONES: Se recomienda continuar con la ejecución del control, y realizar la accion de fortalecimiento con el fin de mitiagar la materialización del daño</t>
  </si>
  <si>
    <t>El comité de conciliación y defensa judicial.</t>
  </si>
  <si>
    <t>Semestralmente.</t>
  </si>
  <si>
    <t>Verificar que se realice el Comité de Conciliación y defensa judicial y que se expongan los procesos.</t>
  </si>
  <si>
    <t xml:space="preserve">Se verifica a través del cumplimiento del cronograma de acuerdo con la disponibilidad del Comité. </t>
  </si>
  <si>
    <t>En los casos en que no se realice el Comité o no se expongan completamente los procesos se requerirá realizar un Comité extraordinario o se presentara un informe con lo pendiente.</t>
  </si>
  <si>
    <t>Actas de Comité 
Formato de no realización de Comité
Informe con los casos pendientes que no se presentaron. (Cuando aplique)</t>
  </si>
  <si>
    <t>Procedimiento Defensa Judicial A-GJU-PR-002
Acción de Tutela A-GJU-PR-003 
Reglamento del Comité de conciliación y Defensa Judicial</t>
  </si>
  <si>
    <t>El control se reportará conforme con lo programado (Semestralmente)</t>
  </si>
  <si>
    <t>19/05/2026
El proceso no reporta acciones durante este periodo, dado que el seguimiento de este control se efectúa de manera semestral</t>
  </si>
  <si>
    <t>01/06/2026
CONTROL No. 4: No aplica , Se reportó que durante este periodo no se dio aplicación a la actividad de control, teniendo encuenta que su periodicidad es semestral
No se presento evidencias del cumplimiento de la acción de fortalecimiento aunque tiene plazo maximo de presentar el día 30/06/2026.
No se materializo el daño
RECOMENDACIONES: Se recomienda continuar con la ejecución del control, y realizar la accion de fortalecimiento con el fin de mitiagar la materialización del daño</t>
  </si>
  <si>
    <t>Cada vez que hay una condena en contra de la entidad</t>
  </si>
  <si>
    <t>Validar las condenas en contra de la Entidad</t>
  </si>
  <si>
    <t>Se determina la procedencia o no de la acción de repetición. En caso de que se determine la acción de repetición inicia las gestiones para la protección de los recursos públicos.</t>
  </si>
  <si>
    <t xml:space="preserve">El/la jefe de la oficina jurídica le solicita al/la abogado/a de defensa judicial, que inicie de manera inmediata, la acción correspondiente, que ya se encuentra aprobada por el Comité de conciliación.
</t>
  </si>
  <si>
    <t xml:space="preserve">Actas de Comité 
Correo electrónico (Cuando aplique).
</t>
  </si>
  <si>
    <t xml:space="preserve">Procedimiento Defensa Judicial A-GJU-PR-002
Acción de Tutela A-GJU-PR-003 </t>
  </si>
  <si>
    <t>Durante los meses de enero, febrero, marzo y abril de 2026, el Comité de Conciliación, ha determinado la no procedencia de acciones de repetición.
Se anexan actas de Comité de Conciliación.</t>
  </si>
  <si>
    <t>19/05/2026
Una vez revisadas las evidencias allegadas por el proceso, se verifica el cumplimiento del control establecido, a traves la realización de las reuniones del comité de conciliación y posterior realización y firma de las respectivas actas para los meses de enero, febrero, marzo y abril de 2026,
&amp;
En cuanto a la accion de fortalecimiento, el proceso no reporta aaciones teniendo en cuenta que el plazo de la misma está definida con corte al 30/06/2026.
No se materializó el riesgo.</t>
  </si>
  <si>
    <t>01/06/2026
CONTROL No. 5: Se evidenció la ejecución de la actividad de control, al aportar las actas del comite de conciliación de los meses de enero, febrero y marzo.
No se presento evidencias del cumplimiento de la acción de fortalecimiento aunque tiene plazo maximo de presentar el día 30/06/2026.
No se materializo el daño
RECOMENDACIONES: Se recomienda continuar con la ejecución del control, y realizar la accion de fortalecimiento con el fin de mitiagar la materialización del daño</t>
  </si>
  <si>
    <t>2 DE 2</t>
  </si>
  <si>
    <t>Sanciones disciplinarias y/o acciones judiciales en contra de la entidad</t>
  </si>
  <si>
    <t>Falta de asesoramiento inadecuado asesoramiento jurídico que implique el desconocimiento de la normatividad vigente.</t>
  </si>
  <si>
    <t xml:space="preserve">Posibilidad de afectación reputacional y/o económico por Sanciones disciplinarias y/o acciones judiciales en contra de la entidad debido a inadecuado asesoramiento jurídico que implique el desconocimiento de la normatividad vigente. </t>
  </si>
  <si>
    <t xml:space="preserve">El/ la jefe de la oficina jurídica </t>
  </si>
  <si>
    <t xml:space="preserve">Cada vez que se emita un concepto por parte de la OJ </t>
  </si>
  <si>
    <t>Validando que la respuesta tenga consonancia con, lo que se está solicitando, que el criterio legal esté conforme con el criterio de la Entidad y en caso de aprobación se firma el concepto.</t>
  </si>
  <si>
    <t xml:space="preserve">El/la jefe de la oficina jurídica, en caso de que se detecte un concepto emitido que no tenga consonancia con la solicitud recibida o que el criterio legal difiera con el criterio de la entidad, se emite un nuevo concepto corrigiendo la interpretación de manera que se dé respuesta satisfactoria a la solicitud. </t>
  </si>
  <si>
    <t>Gestionar inmediatamente cualificaciones/capacitaciones en temas de servicio a la ciudadanía</t>
  </si>
  <si>
    <t>Concepto emitido.</t>
  </si>
  <si>
    <t>Procedimiento de Asesoría Legal A-GJU-PR-001</t>
  </si>
  <si>
    <t>Concepto emitidio</t>
  </si>
  <si>
    <t>Alimentar mensualmente la matriz de control diseñada para  llevar el seguimiento a los conceptos solicitados a la OJ.</t>
  </si>
  <si>
    <t>Durante el periodo, se validó que los conceptos emitidos, tuviesen consonancia con lo solicitado y se verificó que el criterio legal estuviese conforme con el criterio de la Entidad.
Se anexan conceptos emitidos por la Oficina Jurídica.</t>
  </si>
  <si>
    <t>Se alimentó mensualmente la matriz de control del seguimiento a los conceptos solicitados a la Oficina Jurídica.
Se anexa matriz de seguimiento conceptos.</t>
  </si>
  <si>
    <t>19/05/2026
Respecto a este control,  no se logró verificar su correcta ejecución, toda vez que para su debido cumplimiento está establecido que una vez el líder revisa el concepto solicitado, procede a firmarlo dando con esto el aval para continuar con el trámite respectivo. Sin embargo al revisar, las evidencias allegadas por el proceso, remiten los conceptos en formato editable, los cuales  no se encuentran firmados por el Jefe de la Oficina Jurídica.
En cuanto a a  la acción de fortalecimiento, se evidencia que le proceso viene realizando el diligenciamiento de la matriz donde se lleva el  seguimiento a los conceptos de solicitados a la Oficina Jurídica.
&amp;</t>
  </si>
  <si>
    <t>01/06/2026
CONTROL No. 1: No cumple  "la evidencia aportada no permite verificar ejecución de la actividad de control, debido a que aportan documentos en word, sin la debida firma, por lo tanto no se puede determinar el concepto emitido, este completo, y aprobado, sino solo se encuientra elaborado.
ACCION DE FORTALECIMIENTO: Cumple con la actividad descrita. 
No se materializo el daño
RECOMENDACION: Se debe realizar la actividad de control de manera correcta y completa, para mitigar la materialización del riesgo.</t>
  </si>
  <si>
    <t>GESTION FINANCIERA</t>
  </si>
  <si>
    <t>Planear, gestionar y controlar los recursos del IDIPRON mediante los diferentes lineamientos financieros, con el fin de dar cumplimiento a los objetivos institucionales de manera transparente, eficiente y ágil</t>
  </si>
  <si>
    <t>El proceso comienza con la programación anual del anteproyecto de presupuesto; y una vez que ingresan al IDIPRON los recursos financieras a través de transferencias, convenios, donaciones y los demás conceptos, se realiza la causación y pago conforme a lo presupuestado y aprobado con el fin de dar cumplimiento a todas las operaciones que el Instituto requiere para su funcionamiento, culminando con el respectivo cierre de las operaciones</t>
  </si>
  <si>
    <t xml:space="preserve">Hallazgos de los entes de control o no fenecimiento de la cuenta </t>
  </si>
  <si>
    <t>Incumplimiento normativo y/o del manual de políticas contables en el desarrollo de la gestión financiera</t>
  </si>
  <si>
    <t>Posibilidad de afectación reputacional por hallazgos de los entes de control y/o no fenecimiento de la cuenta debido a incumplimiento normativo y/o del manual de políticas contables en el desarrollo de la gestión financiera</t>
  </si>
  <si>
    <t>El/la profesional de presupuesto</t>
  </si>
  <si>
    <t xml:space="preserve"> Cada vez que se genera un CDP</t>
  </si>
  <si>
    <t>Revisar el documento generado en el aplicativo Sysman</t>
  </si>
  <si>
    <t>Verificando que se haya revisado el código del rubro, nombre, código del concepto de gasto, fuente, distribución de los elementos PEP, objeto del contrato y que la firma de la solicitud corresponda con los responsables de los rubros de funcionamiento o proyectos de inversión y si se encuentra correcto aprueba mediante firma digital en el aplicativo BOGDATA el certificado de disponibilidad presupuestal.</t>
  </si>
  <si>
    <t>En caso que se encuentre alguna inconsistencia en los datos, rechaza el documento y lo asigna nuevamente al/la funcionario/a o contratista que lo expidió.</t>
  </si>
  <si>
    <t xml:space="preserve">Base de datos de CDP del aplicativo BOGDATA 
Correo electrónico (Cuando aplique) </t>
  </si>
  <si>
    <t xml:space="preserve">Procedimientos 001 EXPEDICION DISPONIBILIDAD PRESUPUESTAL A-GFI-PR-001 </t>
  </si>
  <si>
    <t>Durante el primer cuatrimestre de 2026 se realizó la revisión y validación de los Certificados de Disponibilidad Presupuestal (CDP) generados en el aplicativo Sysman, verificando el cumplimiento de los lineamientos establecidos para su expedición.</t>
  </si>
  <si>
    <t>Se efectuó seguimiento permanente a la información registrada en los CDP, validando códigos de rubro, conceptos de gasto, fuentes de financiación y firmas digitales, con el fin de minimizar inconsistencias en el proceso presupuestal.</t>
  </si>
  <si>
    <t>Durante el periodo monitoreado no se evidenció la materialización del riesgo</t>
  </si>
  <si>
    <r>
      <rPr>
        <b/>
        <sz val="11"/>
        <color rgb="FF000000"/>
        <rFont val="Times New Roman"/>
      </rPr>
      <t xml:space="preserve">Control No.1: </t>
    </r>
    <r>
      <rPr>
        <sz val="11"/>
        <color rgb="FF000000"/>
        <rFont val="Times New Roman"/>
      </rPr>
      <t>De acuerdo con la revisión efectuada al monitoreo del riesgo y las evidencias aportadas, se verificó el cumplimiento del control establecido, evidenciándose la carga de la base de datos de CDP del aplicativo BOGDATA y los correos electrónicos soporte cuando aplicó. Asimismo, se observó coherencia entre las actividades descritas en el monitoreo y las evidencias aportadas, evidenciando que el riesgo no se materializó durante el periodo evaluado.
&amp;</t>
    </r>
  </si>
  <si>
    <t>Control 1: se evidenció la ejecución de la actividad de control, mediante la base de datos de CRP del aplicativo Bogdata
Accione de Fortalecimiento:  Si bien, el proceso señala que se realizó seguimiento continuo de la información, no se aportó evidencia de las acciones de fortalecimiento.
No se presentó materialización del riesgo.</t>
  </si>
  <si>
    <t>Cada vez que se genera un CRP</t>
  </si>
  <si>
    <t>Revisar los registros Presupuestales generados en el aplicativo Sysman</t>
  </si>
  <si>
    <t>Verificar que se haya revisado en Secop II el tipo de contrato, numero del contrato, aprobación del proveedor y del ordenador del gasto, valor y que la disponibilidad presupuestal a afectar corresponda con la indicada en la minuta y si se encuentra correcto aprueba mediante firma digital en el aplicativo BogData el Registro Presupuestal.</t>
  </si>
  <si>
    <t>En caso de que encuentre alguna inconsistencia en los datos, rechaza el documento y lo asigna nuevamente al funcionario o contratista que lo expidió.</t>
  </si>
  <si>
    <t xml:space="preserve">Base de datos de CRP del aplicativo Bogdata
Correo electrónico ( Cuando aplique) </t>
  </si>
  <si>
    <t>Procedimientos 002 EXPEDICIÓN DE REGISTROS PRESUPUESTALES A-GFI-PR-002</t>
  </si>
  <si>
    <t>Durante el primer cuatrimestre de 2026 se realizó la revisión y validación de los Registros Presupuestales (CRP) generados en el aplicativo Sysman, verificando la información contractual y presupuestal requerida para su aprobación.</t>
  </si>
  <si>
    <t>Se efectuó seguimiento permanente a la información registrada en Secop II y BogData, validando tipo y número de contrato, aprobación del proveedor y ordenador del gasto, valor del contrato y disponibilidad presupuestal asociada, con el fin de mitigar posibles inconsistencias en el proceso.</t>
  </si>
  <si>
    <r>
      <rPr>
        <b/>
        <sz val="11"/>
        <color rgb="FF000000"/>
        <rFont val="Times New Roman"/>
      </rPr>
      <t xml:space="preserve">Control No.2: </t>
    </r>
    <r>
      <rPr>
        <sz val="11"/>
        <color rgb="FF000000"/>
        <rFont val="Times New Roman"/>
      </rPr>
      <t>De acuerdo con la revisión realizada al monitoreo del riesgo y las evidencias aportadas, se verificó el cumplimiento del control establecido, evidenciándose la carga de la base de datos de CRP del aplicativo BOGDATA y los correos electrónicos soporte correspondientes. Asimismo, las evidencias presentadas guardan relación con las actividades descritas en el monitoreo, permitiendo evidenciar que el riesgo no se materializó durante el periodo evaluado.
&amp;</t>
    </r>
  </si>
  <si>
    <t>Control 2: se evidenció la ejecución de la actividad de control, mediante la base de datos de CDP del aplicativo Bogdata.
Accione de Fortalecimiento:  Si bien, el proceso señala que se realizó seguimiento continuo de la información, no se aportó evidencia de las acciones de fortalecimiento.
No se presentó materialización del riesgo.</t>
  </si>
  <si>
    <t>El/la profesional de contabilidad de la Gerencia Financiera</t>
  </si>
  <si>
    <t>Trimestral</t>
  </si>
  <si>
    <t>Verificar que se haya generado el memorando de solicitud de información contable a cada dependencia.</t>
  </si>
  <si>
    <t>Se realiza un memorando a cada dependencia recordando la obligación de entregar la información que afecta los estados contables y las fechas en que debe ser entregada.</t>
  </si>
  <si>
    <t>Se realiza un memorando de la Gerencia Financiera, solicitando a Contabilidad el envío oficial del memorando de manera prioritaria.</t>
  </si>
  <si>
    <t>Memorando</t>
  </si>
  <si>
    <t>Manual de Políticas Contables  A-GFI-MA-001</t>
  </si>
  <si>
    <t>Durante el primer cuatrimestre de 2026 se verificó la generación y envío de los memorandos dirigidos a las diferentes dependencias, recordando la obligación de remitir oportunamente la información que afecta los estados contables.</t>
  </si>
  <si>
    <t>Se realizó seguimiento al envío oportuno de los memorandos y a las fechas establecidas para la entrega de información contable, con el fin de garantizar el cumplimiento de los tiempos definidos y fortalecer el control de la información financiera.</t>
  </si>
  <si>
    <r>
      <rPr>
        <b/>
        <sz val="11"/>
        <color rgb="FF000000"/>
        <rFont val="Times New Roman"/>
      </rPr>
      <t xml:space="preserve">Control No.3: </t>
    </r>
    <r>
      <rPr>
        <sz val="11"/>
        <color rgb="FF000000"/>
        <rFont val="Times New Roman"/>
      </rPr>
      <t>Una vez revisadas las evidencias aportadas en el monitoreo del riesgo, se evidenció el cumplimiento del control establecido, toda vez que se cargó el memorando junto con los soportes correspondientes remitidos a las diferentes dependencias. Igualmente, las evidencias presentadas guardan relación con las actividades descritas en el control, permitiendo verificar el seguimiento realizado al envío oportuno de la información contable durante el periodo evaluado.
&amp;</t>
    </r>
  </si>
  <si>
    <t>Control 3: se evidenció la ejecución de la actividad de control.
Accione de Fortalecimiento:  Si bien, el proceso señala que se realizó seguimiento continuo de la información, no se aportó evidencia de las acciones de fortalecimiento.
No se presentó materialización del riesgo.</t>
  </si>
  <si>
    <t>Los/as funcionarios/as o contratistas de tesorería</t>
  </si>
  <si>
    <t>Cada vez que se recibe un comprobante de cuentas por pagar dentro de las fechas establecidas por la Secretaría de Hacienda.</t>
  </si>
  <si>
    <t>Verificar la información de la cuenta por pagar.</t>
  </si>
  <si>
    <t>Se realiza verificación de la fuente de los recursos, la cuenta bancaria del tercero, valor presupuestal, y la programación del PAC.</t>
  </si>
  <si>
    <t>Si se encuentran errores en los datos, se devuelve la cuenta por pagar a Contabilidad en el formato A-GDO-FT-001 "Entrega y Recibo de Documentos en Área Productora" para subsanación.</t>
  </si>
  <si>
    <t>Lotes firmados en Bogdata
Formato A-GDO-FT-001 "Entrega y Recibo de Documentos en Área Productora ( Cuando aplique)</t>
  </si>
  <si>
    <t>Procedimiento Ejecución de Pagos A-GFI-PR-013</t>
  </si>
  <si>
    <t>Durante el primer cuatrimestre de 2026 se realizó la verificación de las cuentas por pagar recibidas dentro de las fechas establecidas por la Secretaría de Hacienda, validando la información financiera y presupuestal correspondiente. Como evidencia se entregan los lotes de pago de los meses de enero a abril.</t>
  </si>
  <si>
    <t>Se efectuó revisión permanente de la fuente de los recursos, cuentas bancarias de terceros, valores presupuestales y programación PAC, con el fin de garantizar la correcta ejecución de los pagos y minimizar posibles inconsistencias.</t>
  </si>
  <si>
    <r>
      <rPr>
        <b/>
        <sz val="11"/>
        <color rgb="FF000000"/>
        <rFont val="Times New Roman"/>
      </rPr>
      <t xml:space="preserve">Control No.4: </t>
    </r>
    <r>
      <rPr>
        <sz val="11"/>
        <color rgb="FF000000"/>
        <rFont val="Times New Roman"/>
      </rPr>
      <t>En la revisión efectuada al monitoreo del riesgo y sus evidencias, se verificó el cumplimiento del control establecido, evidenciándose el cargue de los lotes firmados en BogData correspondientes a los meses de enero a abril. Asimismo, se evidenció la aplicación de las acciones definidas frente a la materialización del riesgo, mediante el cargue del formato A-GDO-FT-001 “Entrega y Recibo de Documentos en Área Productora”, utilizado para la devolución de cuentas por pagar a Contabilidad con el fin de realizar las respectivas subsanaciones. Las evidencias aportadas guardan correspondencia con las actividades descritas en el monitoreo del riesgo.
&amp;</t>
    </r>
  </si>
  <si>
    <t>Control 4: se evidenció la ejecución de la actividad de control.
Accione de Fortalecimiento:  Si bien, el proceso señala que se realizó seguimiento continuo de la información, no se aportó evidencia de las acciones de fortalecimiento. 
No se presentó materialización del riesgo</t>
  </si>
  <si>
    <t>Profesional de presupuesto y Ordenador/a del Gasto.</t>
  </si>
  <si>
    <t>Cada vez que se va a cargar un pago en el aplicativo Bogdata.</t>
  </si>
  <si>
    <t>Revisar la relación Pagos Ordenes de Servicio.</t>
  </si>
  <si>
    <t>Se revisan dentro del workflow del aplicativo BogData, el número del lote, descargan el PDF, revisan el valor a pagar y firman digitalmente. Después de verificar se diligencia el estado en el que se encuentra el pago en la matriz control de giros.</t>
  </si>
  <si>
    <t>Se rechaza el lote en el aplicativo Bogdata, para subsanación.</t>
  </si>
  <si>
    <t>Matriz control de giros
Captura de pantalla con devolución del lote ( Cuando aplique).</t>
  </si>
  <si>
    <t xml:space="preserve">Durante el primer cuatrimestre de 2026 se realizó la revisión de la relación de pagos de órdenes de servicio cargadas en el aplicativo BogData.Como evidencia se carga la matriz control de giros correspondiente a los meses de enero a abril.
</t>
  </si>
  <si>
    <t>Se efectuó seguimiento permanente al estado de los pagos registrados en el workflow</t>
  </si>
  <si>
    <r>
      <rPr>
        <b/>
        <sz val="11"/>
        <color rgb="FF000000"/>
        <rFont val="Times New Roman"/>
      </rPr>
      <t xml:space="preserve">Control No.5: </t>
    </r>
    <r>
      <rPr>
        <sz val="11"/>
        <color rgb="FF000000"/>
        <rFont val="Times New Roman"/>
      </rPr>
      <t>Como resultado de la revisión realizada al monitoreo del riesgo y las evidencias aportadas, se verificó el cumplimiento del control establecido, evidenciándose el cargue de la matriz control de giros correspondiente a los meses de enero a abril. Asimismo, las evidencias presentadas guardan relación con las actividades descritas en el monitoreo, relacionadas con el seguimiento al estado de los pagos registrados en el workflow, evidenciando que el riesgo no se materializó durante el periodo evaluado.
&amp;</t>
    </r>
  </si>
  <si>
    <t>Control 5: se evidenció la ejecución de la actividad de control.
Accione de Fortalecimiento:  Si bien, el proceso señala que se realizó seguimiento continuo de la información, no se aportó evidencia de las acciones de fortalecimiento.
No se presentó materialización del riesgo.</t>
  </si>
  <si>
    <t>Profesionales de contabilidad, tesorería y presupuesto.</t>
  </si>
  <si>
    <t>Cada vez que se detecta un error.</t>
  </si>
  <si>
    <t>Verificar cuando se detectan errores en los saldos dentro de los informes financieros.</t>
  </si>
  <si>
    <t>Los líderes de la Gerencia Financiera (contabilidad, tesorería y presupuesto) realizan mesas de trabajo con las dependencias involucradas para analizar la situación y buscar la solución posible para corregir el error.</t>
  </si>
  <si>
    <t>En el caso de no realizar las mesas de trabajo para revisar las desviaciones, el/la Gerente Financiero/a, solicita por correo electrónico, la realización con prioridad de las mesas de trabajo.</t>
  </si>
  <si>
    <t>Actas de reunión / Listados de Asistencia
Correo electrónico ( Cuando aplique).</t>
  </si>
  <si>
    <t>No se tiene documentado</t>
  </si>
  <si>
    <t>Durante el primer cuatrimestre de 2026 se realizó seguimiento y verificación permanente de los saldos reflejados en los informes financieros por parte de los profesionales de contabilidad, tesorería y presupuesto, con el fin de identificar oportunamente posibles inconsistencias.</t>
  </si>
  <si>
    <t>Los líderes de la Gerencia Financiera realizaron seguimiento conjunto con las dependencias involucradas, fortaleciendo la articulación y revisión de la información financiera para prevenir desviaciones en los saldos reportados.</t>
  </si>
  <si>
    <r>
      <rPr>
        <b/>
        <sz val="11"/>
        <color rgb="FF000000"/>
        <rFont val="Times New Roman"/>
      </rPr>
      <t xml:space="preserve">Control No.6: </t>
    </r>
    <r>
      <rPr>
        <sz val="11"/>
        <color rgb="FF000000"/>
        <rFont val="Times New Roman"/>
      </rPr>
      <t>Una vez revisado el monitoreo del riesgo y la carpeta de evidencias correspondiente, no se evidenció el cargue de los soportes definidos para la ejecución del control, tales como actas de reunión, listados de asistencia y/o correos electrónicos. En consecuencia, no es posible verificar la ejecución de las actividades descritas en el monitoreo ni validar el cumplimiento efectivo del control durante el periodo evaluado.
&amp;</t>
    </r>
  </si>
  <si>
    <t>Control 6: No se aportó evidencia que dé cuenta de la ejecución de la actividad de control, la carpeta se encuentra vacía
Accione de Fortalecimiento:  Si bien, el proceso señala que se realizó seguimiento continuo de la información, no se aportó evidencia de las acciones de fortalecimiento.
No se presentó materialización del riesgo.</t>
  </si>
  <si>
    <t>Profesionales asignados de Tesorería y presupuesto.</t>
  </si>
  <si>
    <t>Cada vez que se generan hallazgos o no fenecimiento de la cuenta.</t>
  </si>
  <si>
    <t>Verificar cuando se detecten hallazgos o el no fenecimiento de la cuenta.</t>
  </si>
  <si>
    <t xml:space="preserve">Participando en mesas de trabajo con las Oficinas Asesora de Planeación y Control Interno para analizar las causas y definir acciones de mejora que contribuyan a la mitigación de los hallazgos encontrados por los entes de control. </t>
  </si>
  <si>
    <t>En el caso de no realizar las mesas de trabajo para revisar los hallazgos o el no fenecimiento de la cuentas, el/la Gerente Financiero/a, solicita por correo electrónico, la realización con prioridad de las mesas de trabajo.</t>
  </si>
  <si>
    <t>Manual para la Administración de Planes de Mejoramiento E-MEJ-MA-004</t>
  </si>
  <si>
    <t>No se efectuo el riesgo</t>
  </si>
  <si>
    <r>
      <rPr>
        <b/>
        <sz val="11"/>
        <color rgb="FF000000"/>
        <rFont val="Times New Roman"/>
      </rPr>
      <t xml:space="preserve">Control No.7: </t>
    </r>
    <r>
      <rPr>
        <sz val="11"/>
        <color rgb="FF000000"/>
        <rFont val="Times New Roman"/>
      </rPr>
      <t>Al realizar la revisión del monitoreo del riesgo y la carpeta de evidencias correspondiente al control, se evidenció que únicamente se reportó que el riesgo no se materializó durante el periodo evaluado; sin embargo, no se aportaron soportes ni evidencias que permitan verificar la ejecución del control y las actividades asociadas al mismo, toda vez que durante el periodo no se presentaron hallazgos o no fenecimientos de la cuenta
&amp;</t>
    </r>
  </si>
  <si>
    <t>Control 7: Se reportó que durante este periodo no se dio aplicación a la actividad de control
Accione de Fortalecimiento:  Se reportó que durante este periodo no se dio aplicación a la actividad de control.
No se presentó materialización del riesgo.</t>
  </si>
  <si>
    <t>Incumplimiento en la presentación o reporte de la información financiera del Instituto en las fechas programadas por los entes de control financiero.</t>
  </si>
  <si>
    <t>Inconsistencias y/o falta de información suministradas oportunamente por las dependencias.</t>
  </si>
  <si>
    <t>Posibilidad de afectación reputacional por incumplimiento en la presentación o reporte de la información financiera del Instituto en las fechas programadas por los entes de control financiero debido a inconsistencias y/o falta de información suministradas oportunamente por las dependencias</t>
  </si>
  <si>
    <t>El/la profesional de contabilidad de la Gerencia Financiera.</t>
  </si>
  <si>
    <t>Trimestral.</t>
  </si>
  <si>
    <t>Manual de Políticas Contables A-GFI-MA-001</t>
  </si>
  <si>
    <t>Realizar mesas de trabajo con las diferentes dependencias en las que se socializan las fechas de los diferentes reportes de información financiera del Instituto para los entes de control.</t>
  </si>
  <si>
    <t>Gerencia Financiera</t>
  </si>
  <si>
    <t>01/03/2026 al 30/12/2026</t>
  </si>
  <si>
    <t>Para el primer cuatrimestre se carga los memorandos enviados solicitud de información contable a cada dependencia a 31 de marzo de 2026.</t>
  </si>
  <si>
    <t>Se reportara en el siguiente seguimiento</t>
  </si>
  <si>
    <r>
      <rPr>
        <b/>
        <sz val="11"/>
        <color rgb="FF000000"/>
        <rFont val="Times New Roman"/>
      </rPr>
      <t>Control No.1:</t>
    </r>
    <r>
      <rPr>
        <sz val="11"/>
        <color rgb="FF000000"/>
        <rFont val="Times New Roman"/>
      </rPr>
      <t xml:space="preserve"> Una vez revisadas las evidencias aportadas en el monitoreo del riesgo, se verificó el cumplimiento del control establecido, evidenciándose el cargue de los memorandos enviados a las diferentes dependencias para la solicitud de información contable con corte a 31 de marzo de 2026.
&amp;</t>
    </r>
  </si>
  <si>
    <t>Control 1: se evidenció la ejecución de la actividad de control.
Accione de Fortalecimiento:  Se reportó que durante este periodo no se dio aplicación a la actividad de control
No se presentó materialización del riesgo.</t>
  </si>
  <si>
    <t xml:space="preserve">Cuando se presente incumplimiento en la presentación de la información por parte de las dependencias </t>
  </si>
  <si>
    <t>Revisar que se recepcionó la información financiera solicitada.</t>
  </si>
  <si>
    <t>Se verifica a través de los memorandos remitidos, la respuesta oportuna y completa por parte de las dependencias.</t>
  </si>
  <si>
    <t>En caso de que se presente incumplimiento en la presentación o reporte de la información financiera, el responsable del área de contabilidad realiza mesas de trabajo con las áreas involucradas para recolectar la información requerida  y realizar la remisión en el menor tiempo posible.</t>
  </si>
  <si>
    <t>Memorandos de respuestas 
Listado de asistencia (Cuando aplique)</t>
  </si>
  <si>
    <t>No está documentado</t>
  </si>
  <si>
    <t>Para el primer cuatrimestre se carga los memorandos de respuesta de información contable de cada dependencia a 31 de marzo de 2026.</t>
  </si>
  <si>
    <r>
      <rPr>
        <b/>
        <sz val="11"/>
        <color rgb="FF000000"/>
        <rFont val="Times New Roman"/>
      </rPr>
      <t>Control No.2:</t>
    </r>
    <r>
      <rPr>
        <sz val="11"/>
        <color rgb="FF000000"/>
        <rFont val="Times New Roman"/>
      </rPr>
      <t xml:space="preserve"> Como resultado de la revisión efectuada al monitoreo del riesgo y las evidencias aportadas, se verificó el cumplimiento del control establecido, evidenciándose el cargue de los memorandos de respuesta de información contable remitidos por las diferentes dependencias con corte a 31 de marzo de 2026.
No obstante lo anterior, el riesgo está orientado a la realización de mesas de trabajo cuando no se recepcione la información requerida para la presentación de informes. En el reporte no se establece si durante el primer cuatrimestre se presentó incumplimiento en la presentación de información por parte de las dependencias; dado lo anterior no se puede establecer si el control fue aplicado
Acción de Fortalecimiento: El proceso no reporta avance en las acciones de fortalecimiento de los controles, sin embargo la acción se encuentr en términos
&amp;
</t>
    </r>
  </si>
  <si>
    <t>Control 2: se evidenció la ejecución de la actividad de control.
Accione de Fortalecimiento:  Se reportó que durante este periodo no se dio aplicación a la actividad de control
No se presentó materialización del riesgo.</t>
  </si>
  <si>
    <t>GESTION CONTRACTUAL</t>
  </si>
  <si>
    <t>Adelantar los procesos de contratación del IDIPRON según la información registrada en el Plan Anual de Adquisiciones publicado en el SECOP II bajo las diferentes modalidades establecidas dentro del marco legal vigente, cumpliendo con los principios de transparencia, economía, responsabilidad y los postulados que rigen la función administrativa de manera que se puedan cubrir las necesidades para el normal desarrollo de las actividades misionales y administrativas de la entidad</t>
  </si>
  <si>
    <t>El proceso inicia con la consolidación y aprobación del Plan Anual de Adquisiciones - PAA su desarrollo a traves de la estructuración, evaluación, contratación, supervisión y termina con la liquidación de los procesos contractuales cuando aplique.</t>
  </si>
  <si>
    <r>
      <rPr>
        <b/>
        <sz val="12"/>
        <color rgb="FF000000"/>
        <rFont val="Times New Roman"/>
      </rPr>
      <t xml:space="preserve">EVIDENCIA DE LA EJECUCIÓN DEL CONTROL
</t>
    </r>
    <r>
      <rPr>
        <sz val="12"/>
        <color rgb="FF000000"/>
        <rFont val="Times New Roman"/>
      </rPr>
      <t xml:space="preserve">
(El control debe dejar evidencia de su ejecución. Esta evidencia ayuda a que se pueda revisar la misma información por parte de un tercero y llegue a la misma conclusión de quien ejecutó el control)</t>
    </r>
  </si>
  <si>
    <t>Perdida de confiabilidad por parte de los grupos de valor</t>
  </si>
  <si>
    <t xml:space="preserve">Celebración de contratos sin el lleno de los requisitos </t>
  </si>
  <si>
    <t>Posibilidad de afectación reputacional por perdida de confiabilidad por parte de los grupos de valor debido a la celebración de contratos sin el lleno de los requisitos</t>
  </si>
  <si>
    <t>Cada vez que se adelante un proceso de contratación de bienes y servicios</t>
  </si>
  <si>
    <t>Verificar que los estudios previos contengan los requisitos definidos conforme con la normatividad vigente en materia de contratación</t>
  </si>
  <si>
    <t>Se define a través de los estudios previos , los requisitos de orden jurídico, técnico y financiero para la postulación de los diferentes proponentes de los procesos de contratación de bienes y servicios de la entidad.</t>
  </si>
  <si>
    <t>Se solicita a los miembros del comité estructurador los ajustes respectivos para ser incluidos en el estudio, a través de correo electrónico</t>
  </si>
  <si>
    <t>Estudio previo (Muestra 20% de los contratos adjudicados en el periodo reportado) 
Correo electrónico con solicitudes de ajustes para ser incluidos en los estudios previos ( Cuando aplique)</t>
  </si>
  <si>
    <t>Manual de Contratación A-GCO-MA-002</t>
  </si>
  <si>
    <t>De acuerdo con la.metodologia para la administración del riesgo, no se formulan acciones de fortalecimiento para la vigencia 2026, por cuanto los controles existentes se consideran suficientes y permiten mitigar el riesgo</t>
  </si>
  <si>
    <r>
      <rPr>
        <b/>
        <sz val="11"/>
        <color rgb="FF000000"/>
        <rFont val="Times New Roman"/>
      </rPr>
      <t xml:space="preserve">CONTROL 1
</t>
    </r>
    <r>
      <rPr>
        <sz val="11"/>
        <color rgb="FF000000"/>
        <rFont val="Times New Roman"/>
      </rPr>
      <t xml:space="preserve">
El comité estructurador definió los requisitos de orden jurídico técnico y financiero de los once (11) contratos suscritos  por la entidad en el primer cuatrimestre. se remite muestra del 20% de los estudios previos de los contratos suscritos.
Se remite muestra con las observaciones presentadas a los procesos de contratación de aseo y cafeteria
</t>
    </r>
    <r>
      <rPr>
        <b/>
        <sz val="11"/>
        <color rgb="FF000000"/>
        <rFont val="Times New Roman"/>
      </rPr>
      <t xml:space="preserve">CONTROL 2
</t>
    </r>
    <r>
      <rPr>
        <sz val="11"/>
        <color rgb="FF000000"/>
        <rFont val="Times New Roman"/>
      </rPr>
      <t xml:space="preserve">El Comité Asesor de Contratación reviso las necesidades de contratación de bienes y servicios de la entidad que fueron presentados para su conocimiento y avaló los procesos para continuar su respectivo tramite segun la modalidad de contratación programada en el PAA.
Se remite acta No 1 que contiene la aprobación del PAA para la vigencia 2026.
ACTA No 5 
1. PRESTAR EL SERVICIO DE FOTOCOPIADO, ESCÁNER E IMPRESIÓN BAJO LA MODALIDAD DE OUTSOURCING PARA LAS DIFERENTES SEDES DEL IDIPRON”.
2. PRESTAR EL SERVICIO DE TRANSPORTE DE CARGA PARA LA EJECUCIÓN DE LOS CONVENIOS SUSCRITOS EN EL MARCO DEL PROYECTO DE INVERSIÓN 7967”.
ACTA No 6.
CONTRATAR EL SERVICIO INTEGRAL DE ASEO, CAFETERIA Y MANTENIMIENTO INCLUIDO EL SUMINISTRO DE INSUMOS, EQUIPOS Y MAQUINARIA PARA LAS DIFERENTES SEDES DEL IDIPRON.
</t>
    </r>
    <r>
      <rPr>
        <b/>
        <sz val="11"/>
        <color rgb="FF000000"/>
        <rFont val="Times New Roman"/>
      </rPr>
      <t xml:space="preserve">CONTROL 3
</t>
    </r>
    <r>
      <rPr>
        <sz val="11"/>
        <color rgb="FF000000"/>
        <rFont val="Times New Roman"/>
      </rPr>
      <t xml:space="preserve">
Con corte al 1er cuatrimestre no se han evidenciado inhabilidades sobrevinientes.</t>
    </r>
  </si>
  <si>
    <t>CONTROL 1
Se evidencia la ejecuión del control con la definición de los requisitos por parte del comité estructurador
CONTROL 2
Se evidencia la ejecuión del control desde el Acta No. 1 con la aprobación del PAA 2026 
CONTROL 3
No se reporta avance en este control
ACCIONES PARA EL FORTALECIMIENTO DEL CONTROL
No cuenta con acciones de fortalecimiento
NO SE HA MATERIALIZADO EL RIESGO</t>
  </si>
  <si>
    <t xml:space="preserve">CONTROL 1
Se evidencia la ejecución del control con la definición de los requisitos por parte del comité estructurador con una muestral del 20% correspondiente a dos procesos de contratación de aseo y cafeteria, asi mismo se evidencia  muestra con las observaciones presentadas a dichos procesos, sin embargo para esta ultima no se aportó el correo electrónico con las solicitudes de ajustes tal y como se inidica en la columna de "EVIDENCIA DE LA EJECUCIÓN DEL CONTROL".
ACCIÓN DE FORTALECIMIENTO
No se formularon
No se materializa el riesgo
CONTROL 2 
Se evidencia la ejecución del control aplicado a las necesidades de contratación de bienes y servicios presentadas por las diferentes dependencias de la entidad ante al comité asesor de  contratación , para ello aportan el Acta No. 1 con la aprobación del PAA 2026 y actas 5 y 6 respectivamente de procesos de contratación presentados ante dicho comite.
ACCIÓN DE FORTALECIMIENTO
No se formularon
No se materializa el riesgo
CONTROL 3
No se evidencia avance de este control, teniendo en cuenta que el area refiere que "Con corte al 1er cuatrimestre no se han evidenciado inhabilidades sobrevinientes", Al respecto, la Oficina de Control Interno recomienda reevaluar la efectividad del control, teniendo en cuenta que este no contempla actividades de detección orientadas a mitigar el riesgo ante una eventual materialización de una inhabilidad . En consecuencia, se sugiere fortalecer el control mediante actividades de caracter preventivas y que permitan una gestión mas efectiva del riesgo.
ACCIÓN DE FORTALECIMIENTO
No se formularon
No se materializa el riesgo
</t>
  </si>
  <si>
    <t>El comité asesor de contratación</t>
  </si>
  <si>
    <t>Cada vez que se adelante un proceso de contratación de bienes y servicios que superen la mínima cuantía en la entidad.</t>
  </si>
  <si>
    <t>Revisar y recomendar sobre los procesos de selección que pretenda adelantar la entidad para la adquisición de obras, bienes o servicios en las diferentes modalidades de selección, incluyendo la contratación directa siempre que supera la mínima cuantía de la entidad.</t>
  </si>
  <si>
    <t>Se revisan las necesidades de contratación de bienes y servicios presentadas por las diferentes dependencias de la entidad ante al comité asesor de  contratación , con el fin de recomendar que se adelante o no el proceso de contratación</t>
  </si>
  <si>
    <t>El comité asesor de contratación no avala el proceso hasta tanto la dependencia responsable no realice los ajuste solicitados por dicho comité</t>
  </si>
  <si>
    <t>Actas de comité asesor de contratación</t>
  </si>
  <si>
    <t>El/la supervisor/a del contrato o la Gerencia de Contratación</t>
  </si>
  <si>
    <t>Cada vez que se identifique una inhabilidad sobreviniente en un/a contratista de bienes y servicios que se encuentre adelantando la respectiva ejecución contractual</t>
  </si>
  <si>
    <t xml:space="preserve">Verificar al momento de adelantar una modificación contractual: los soportes y certificaciones de ente de control </t>
  </si>
  <si>
    <t>Se revisan los soportes y las certificaciones expedidas por los entes de control al momento de adelantar el trámite de modificación contractual</t>
  </si>
  <si>
    <t>Se expide el acto administrativo debidamente motivado con el fin de dar el lineamiento frente al contrato en ejecución y la actuación sobre un respectivo contratista</t>
  </si>
  <si>
    <t>Acto administrativo frente al contrato que se encuentra afectado y las certificaciones expedidas por la Ias</t>
  </si>
  <si>
    <t>Por fallos de sentencias judiciales en contra de la entidad</t>
  </si>
  <si>
    <t>Debido a la configuracion de contrato realidad</t>
  </si>
  <si>
    <t>Posibilidad de afectación económica por fallos de sentencias judiciales en contra de la entidad debido a la configuración de contrato realidad</t>
  </si>
  <si>
    <t>El equipo Contratación Prestación de Servicios de la Gerencia de Contratación</t>
  </si>
  <si>
    <t>Cada vez que se adelante un proceso de Contrato de Prestación de servicios y profesionales y/o apoyo a la Gestión</t>
  </si>
  <si>
    <t>Revisar documentos previos y justificación de la contratación con el fin de evitar que se configure un posible contrato realidad</t>
  </si>
  <si>
    <t xml:space="preserve">El/la abogado/a revisa los documentos y estudios previos formulados por la dependencias solicitantes, a través de la revisión de las obligaciones específicas y los objetos contractuales </t>
  </si>
  <si>
    <t>En caso de identificar estudios previos con obligaciones u objetos que puedan llegar a configurar un posible contrato realidad, se solicita mediante correo electrónico el ajuste respectivo a la dependencia dueña de la necesidad de contratación</t>
  </si>
  <si>
    <t>Matriz de radicación de procesos de contratación
Correo electrónico ( Cuando aplique)</t>
  </si>
  <si>
    <t>Contratación de Prestación de Servicios  Profesionales y de Apoyo a la Gestión A-GCO-PR-015</t>
  </si>
  <si>
    <t>Comunicar orientaciones a la entidad frente a la Contratación de prestación de servicios.</t>
  </si>
  <si>
    <t>Gerencia de Contratación</t>
  </si>
  <si>
    <t>a partir del mes de febrero de 2026</t>
  </si>
  <si>
    <t>CONTROL 1
El abogado designado de la Gerencia de Contratación, adelantó la revisión de los estudios previos y la documentación conforme el reparto asignado con el fin de verificar los documentos previos a fin de prevenir la configuración del contrato realidad en los contratos de prestación de servicios a suscribir previo el inicio de la restricción por la Ley de Garantías Electorales para la presente vigencia.</t>
  </si>
  <si>
    <t>En atención a la etapa de preparación para la contingencia en materia contractual de la Ley de Garantías Electorales del 2026, se expidio la circular 027 de noviembre de 2025 con el fin de brindar las orientaciones en la materia y desde la Gerencia de Contratación se reiteró la circular no 001 de 2025 para tener en cuenta los lineamientos en la materia por parte de los responsables de cada proyecto de inversión.
Se remite Circulares 001 y 027 asi como Correo electronico de la Gerencia de COntrtación por medio del cual se comunicaron los lineamientos en materia contractual de cara a la contingencia por la Ley de Garantias de la vigencia 2026.</t>
  </si>
  <si>
    <t>No se materialzó el riesgo</t>
  </si>
  <si>
    <t>CONTROL 1
Se evidencia la ejecuión del control desde la matriz de radicación, dónde se le realizá el seguimeinto a la revisión de estudión previos y documentación
ACCIONES PARA EL FORTALECIMIENTO DEL CONTROL
Se valida el cumplimientos de la acción de fortalecimiento desde la expedición de circular que da linemientos en materia contractual
NO SE HA MATERIALIZADO EL RIESGO</t>
  </si>
  <si>
    <t>CONTROL 1
Se evidencia la ejecución del control con el aporte de la matriz de radicación de los procesos de contratación. 
ACCIÓN DE FORTALECIMIENTO
No se evidencia el cumplimiento de la acción todavez que de acuerdo a la fecha de implementación definida en la matriz " partir del mes de febrero de 2026" las circulares en las que se definen los lineamientos para la contratación de prestación de servicios en la vigencia 2026.  deberan ser expedidas con fecha posterior a la indicada, No obstante no es procedente validar las aportadas por el area para el presente monitoreo, ya que corresponden a vigencia 2025.
No se materializa el riesgo
RECOMENDACIÓN: Al respecto, la Oficina de Control Interno recomienda reevaluar la efectividad del control, teniendo en cuenta que este no contempla actividades de detección orientadas a mitigar el riesgo ante una eventual materialización de un contrato realidad. En consecuencia, se sugiere fortalecer el control mediante actividades de caracter preventivas que permitan una gestión mas efectiva del riesgo.</t>
  </si>
  <si>
    <t xml:space="preserve">GESTIÓN DE INVENTARIOS, ALMACEN Y ECONOMATO </t>
  </si>
  <si>
    <t>Administrar los bienes muebles de consumo, perecederos y no perecederos y los bienes muebles de propiedad, planta y equipo adquiridos y/o recibidos por el Instituto, dirigiendo su almacenamiento, registro y distribución bajo las normas y lineamientos que regulan la materia, haciendo uso de las herramientas tecnológicas que le permitan mantener actualizados los inventarios y optimizar el uso de los recursos del Instituto para apoyar el abastecimiento de las sedes y unidades de protección integral de IDIPRON y la entrega de información confiable para la toma de decisiones</t>
  </si>
  <si>
    <t>El proceso inicia desde la recepción de los documentos para el ingreso de los elementos y/o bienes, los cuales son administrados, custodiados, controlados, distribuidos y puestos a disposición de los diferentes procesos del IDIPRON y finaliza con la actualización del inventario en bodega, la entrega de la cuenta mensual y los controles administrativos sobre los elementos en bodega y los bienes en servicio.</t>
  </si>
  <si>
    <t>Quejas de los usuarios internos</t>
  </si>
  <si>
    <t xml:space="preserve">Generación de información inconsistente respecto a los bienes o elementos de la entidad custodiados por el proceso que se encuentren en las sub bodegas del almacén </t>
  </si>
  <si>
    <t>Posibilidad de afectación reputacional por quejas de los usuarios internos debido a la generación de información inconsistente respecto a los bienes o elementos de la entidad custodiados por el proceso que se encuentren en las sub bodegas del almacén</t>
  </si>
  <si>
    <t>El/la funcionario o contratista designado/a</t>
  </si>
  <si>
    <t>Cada vez que se recibe documentación para ingreso de bienes a la bodega por parte del supervisor del contrato</t>
  </si>
  <si>
    <t xml:space="preserve">Verificar que la información relacionada en la factura coincida con lo relacionado en la remisión recibida en bodega. </t>
  </si>
  <si>
    <t>El /la funcionario/a o contratista designado/a verifica que la información registrada en la oferta económica o en el contrato sea igual a la registrada en la remisión y en la factura</t>
  </si>
  <si>
    <t>En caso que se presente alguna diferencia o novedad en la realización del ingreso, informa por medio de correo electrónico al supervisor del contrato para que realice la corrección o aclaración o adición de información correspondiente.</t>
  </si>
  <si>
    <t>Comprobante de Ingreso de almacén con la firma de revisado  Correos con las novedades o solicitud de corrección (Cuando aplique)</t>
  </si>
  <si>
    <t>Recepción e ingresos de bienes devolutivos  A-GIAE-PR-002</t>
  </si>
  <si>
    <t>Se verificó la gestión de 121 comprobantes de ingreso mediante el cotejo de documentos soporte frente al aplicativo institucional. En cumplimiento de los puntos de control 3 y 14 del procedimiento A-GIAE-PR-002, se validó la integridad de facturas, remisiones y actas, asegurando que los datos registrados coincidan plenamente con las propuestas económicas definitivas. El 100% de los ingresos se encuentran en estado "APROBADO" en el sistema. Ante la detección de inconsistencias documentales, se aplicó el punto de control 4, notificando oportunamente a la supervisión vía correo electrónico para su respectiva aclaración o corrección previa al registro definitivo, garantizando así la calidad de la información.</t>
  </si>
  <si>
    <t>De acuerdo con la metodología, no se formularon acciones adicionales para la vigencia 2026, dado que los controles actuales del procedimiento A-GIAE-PR-003 se consideran suficientes para mitigar el riesgo.</t>
  </si>
  <si>
    <t>No se materializó el riesgo; los controles preventivos fueron efectivos.</t>
  </si>
  <si>
    <t>Se monitoreó el 100% de los ingresos del periodo. La aplicación del procedimiento A-GIAE-PR-002 garantizó la detección y corrección preventiva de novedades documentales. Los registros se oficializaron y comunicaron bajo criterios de oportunidad y trazabilidad, asegurando la consistencia de la información.</t>
  </si>
  <si>
    <t xml:space="preserve">
Control No. 1: 
Se valida la aplicación del control desde los 121 comprobantes correspondientes al periodo.
Control No. 2:
 Se evidencia la aplicación del control con el correcto diligenciamiento del formato Solicitud De Bienes De Consumo, Consumo Controlado o Devolutivos A-GIAE-FT-002, correspondiente al periodo evaluado
Control No. 3: 
Se evidencia la aplicación del control con la aplicación del formato Traslado, Salida y Entrega de Elementos de Consumo A-GIAE-FT-003 para el periodo evaluado, tal como fue definido en el control
Control No. 4: 
Se verifica la correcta aplicación del control, con la  Captura de pantalla del Formato Tarjeta de Kardex Mural A-GIAE-FT-004 para el periodo evaluado
Control 5:
Se evidencia la aplicación del control con el reporte de 9 casos en la mesa de ayuda ARANDA, correspondientes al cuatrimestre evaluado 
No se requiere acción de fortalecimiento
No se materializó el riesgo
&amp;</t>
  </si>
  <si>
    <t xml:space="preserve">CONTROL 1
La evidencia aportada no permite verificar la ejecución de la actividad de control, toda vez que los comprobantes de ingreso a almacén presentados como soporte no cuentan con la firma de revisión establecida en el diseño del control. En consecuencia, no es posible evidenciar que se haya realizado la verificación entre la información registrada en la oferta económica o contrato, la remisión y la factura, conforme a lo definido.
Recomendación
Se recomienda fortalecer la documentación de la ejecución del control, asegurando que los comprobantes de ingreso a almacén cuenten con los mecanismos de validación definidos, para que refleje adecuadamente la forma en que se documenta su ejecución.
CONTROL 2
se evidenció la ejecución de la actividad de control
CONTROL 3
se evidenció la ejecución de la actividad de control
CONTROL 4
se evidenció la ejecución de la actividad de control
CONTROL 5
se evidenció la ejecución de la actividad de control
ACCIONES DE FORTALECIMIENTO
El proceso indica que “no se formulan acciones de fortalecimiento para la vigencia 2026, por cuanto los controles existentes se consideran suficientes y permiten mitigar el riesgo”
MATERIALIZACIÓN DEL RIESGO
No se materializo el riesgo
</t>
  </si>
  <si>
    <t>El/la funcionario/a o contratista  de la sub bodega</t>
  </si>
  <si>
    <t>Cada vez que se recibe documentación para egreso</t>
  </si>
  <si>
    <t xml:space="preserve">Verificar el correcto diligenciamiento del formato  Solicitud De Bienes De Consumo, Consumo Controlado o Devolutivos A-GIAE-FT-002
</t>
  </si>
  <si>
    <t>El/la funcionario/a o contratista  de la sub bodega hace entrega de los bienes o elementos de acuerdo con lo relacionado en el formato Solicitud De Bienes De Consumo, Consumo Controlado o Devolutivos A-GIAE-FT-002, el cual debe venir totalmente diligenciado y firmado por los/as funcionarios/as o contratistas que se especifican en el formato</t>
  </si>
  <si>
    <t>En caso que no se encuentre debidamente diligenciado y/o firmado, se devuelve a través de correo electrónico al/la solicitante para que sea ajustado</t>
  </si>
  <si>
    <t xml:space="preserve">Solicitud De Bienes De Consumo, Consumo Controlado o Devolutivos A-GIAE-FT-002
Correo electrónico ( Cuando aplique) </t>
  </si>
  <si>
    <t>Egreso De Elementos de Consumo, Consumo Controlado o Bienes Devolutivos  A-GIAE-PR-003</t>
  </si>
  <si>
    <t>Se validó la gestión de las solicitudes de bienes mediante el formato A-GIAE-FT-002. En cumplimiento de los puntos de control 5 y 8 del procedimiento A-GIAE-PR-003, se verificó satisfactoriamente que cada requerimiento contara con las firmas de autorización vigentes y la disponibilidad de existencias en el aplicativo. El 100% de los formatos recibidos cumplieron con los requisitos técnicos y legales establecidos, permitiendo continuar con el proceso de alistamiento y despacho</t>
  </si>
  <si>
    <t>No se materializó el riesgo.</t>
  </si>
  <si>
    <t>El control garantizó que la totalidad de las solicitudes tramitadas contaran con el debido soporte documental y autorizaciones previas. La efectividad en el diligenciamiento por parte de las dependencias facilitó la oficialización oportuna de los egresos en el aplicativo, asegurando la trazabilidad de los bienes y la consistencia de los inventarios en la sub-bodega.</t>
  </si>
  <si>
    <t xml:space="preserve">
Cada vez que se reciben solicitudes de bienes y/o elementos
</t>
  </si>
  <si>
    <t>Verificar que lo que se despacha coincida con lo diligenciado en el formato</t>
  </si>
  <si>
    <t>El/la funcionario/a o contratista  de la sub bodega,  elabora la salida de almacén a través del formato Traslado, Salida y Entrega de Elementos de Consumo A-GIAE-FT-003, verificando que lo que se despacha coincida con lo diligenciado en el formato y elabora el comprobante de egreso en el aplicativo sistematizado para actualizar el inventario</t>
  </si>
  <si>
    <t>En el caso del alistamiento que se identifique un faltante o sobrante se procede a realizar un nuevo conteo para contrastar que el formato Solicitud De Bienes De Consumo, Consumo Controlado o Devolutivos A-GIAE-FT-002 coincida con el formato Traslado, Salida y Entrega de Elementos de Consumo A-GIAE-FT-003</t>
  </si>
  <si>
    <t>Traslado, Salida y Entrega de Elementos de Consumo A-GIAE-FT-003</t>
  </si>
  <si>
    <t>Se realizó la verificación del alistamiento y despacho de bienes mediante el formato A-GIAE-FT-003. En cumplimiento de los puntos de control 15, 17 y 21 del procedimiento A-GIAE-PR-003, se confrontaron físicamente las denominaciones y cantidades contra lo registrado en las solicitudes A-GIAE-FT-002. se formalizó la entrega con las firmas a satisfacción de los delegados de las dependencias. Durante el proceso, se validó la integridad física de los elementos previo a su salida de las sub-bodegas.</t>
  </si>
  <si>
    <t>No se formulan acciones de fortalecimiento para la vigencia 2026, ya que la aplicación del procedimiento A-GIAE-PR-003 y el uso del formato FT-003 garantizan la mitigación del riesgo en la fase de entrega.</t>
  </si>
  <si>
    <t>La trazabilidad documental se mantiene completa con los originales firmados por los responsables del recibo, asegurando el control sobre el destino final de los bienes.</t>
  </si>
  <si>
    <t xml:space="preserve">
El/la funcionario/a o contratista  de la sub bodega</t>
  </si>
  <si>
    <t>Cada vez que haya movimientos de entradas o salidas</t>
  </si>
  <si>
    <t>Verificar que los datos registrados en la tarjeta correspondan a los registrados en los formatos de ingreso y/o egreso de los elementos y en el aplicativo sistematizado para actualizar el inventario</t>
  </si>
  <si>
    <t>Se realiza la actualización de las tarjetas de kardex A-GIAE-FT-004, siempre y cuando haya movimientos de entradas o salidas, verificando que los datos registrados en la tarjeta correspondan a los registrados en los formatos de ingreso y/o egreso de los elementos y en el aplicativo sistematizado para actualizar el inventario</t>
  </si>
  <si>
    <t>El/la funcionario/a o contratista de la sub bodega, deberá realizar la corrección en la tarjeta de kardex</t>
  </si>
  <si>
    <t xml:space="preserve"> Captura de pantalla del Formato Tarjeta de Kardex Mural A-GIAE-FT-004</t>
  </si>
  <si>
    <t>Se realizó el seguimiento y verificación de las Tarjetas Kardex Mural A-GIAE-FT-004 en las sub-bodegas. Se revisó que los movimientos de entrada y salida reportados en el periodo fueron registrados manualmente de manera inmediata, manteniendo la trazabilidad desde el documento soporte (Comprobantes de Ingreso y Formatos de Salida A-GIAE-FT-003) hacia el saldo reflejado en cada tarjeta kardex.</t>
  </si>
  <si>
    <t>Durante el periodo de monitoreo, no se requirieron acciones adicionales de fortalecimiento, toda vez que el procedimiento de registro manual en el Kardex Mural se viene ejecutando de manera rigurosa, sirviendo como un control preventivo eficaz para la detección de inconsistencias antes del cierre de inventarios</t>
  </si>
  <si>
    <t>No se materializó el riesgo. El control permitió mantener la integridad de la información y la custodia de los bienes sin presentar faltantes ni sobrantes durante las verificaciones aleatorias</t>
  </si>
  <si>
    <t>Se resalta la importancia del Kardex Mural como herramienta de control visual y auditoría rápida. Se observó que las tarjetas guardan total concordancia con las existencias físicas en los estantes y con los saldos reportados en el aplicativo sistematizado. Este control garantiza que cualquier funcionario con la autoridad debida pueda conocer la disponibilidad real de elementos de manera inmediata y veraz</t>
  </si>
  <si>
    <t>Los/las colaboradores del proceso de Gestión de Inventarios, Almacén y Economato</t>
  </si>
  <si>
    <t>Cada vez que se presenta una inconsistencia en el aplicativo</t>
  </si>
  <si>
    <t>Verificar que se haya registrado el caso de la inconsistencia en el aplicativo ARANDA</t>
  </si>
  <si>
    <t xml:space="preserve"> Se verifica que el caso tenga un código asignado y que se le haya asignado a un funcionario/a o contratista </t>
  </si>
  <si>
    <t xml:space="preserve">En caso de evidenciar inconsistencias en el Aplicativo Sistematizado, los colaboradores del proceso de Gestión de Inventarios, Almacén y Economato, reportan la novedad en la mesa de ayuda ARANDA
</t>
  </si>
  <si>
    <t>Reporte en Excel con la relación de los casos registrados en la mesa de ayuda</t>
  </si>
  <si>
    <t xml:space="preserve"> A-GIAE-IN-002 "Ingreso y egreso de alimentos en bodega" y A-GIAE-IN-003 "Almacenamiento y disposición de bienes y elementos en bodega"</t>
  </si>
  <si>
    <t>Se realizó el monitoreo de las novedades reportadas en el Aplicativo Sistematizado a través de la mesa de ayuda ARANDA. Se verificó que cada inconsistencia técnica detectada por los colaboradores del proceso contara con su respectivo número de caso, asignación de especialista y su estado. Se valida mediante el reporte que todas las incidencias del cuatrimestre fueran asignadas, atendidas y/o solucionadas, que pueda garantizar la operatividad del sistema en el menor tiempo posible</t>
  </si>
  <si>
    <t>No se definieron acciones de fortalecimiento, dado que el uso de la plataforma ARANDA y el seguimiento mediante reportes de gestión son controles correctivos suficientes para mitigar errores en el procesamiento de datos.</t>
  </si>
  <si>
    <t>La efectividad del control se fundamenta en la gestión y cierre de los casos reportados ante la mesa de ayuda</t>
  </si>
  <si>
    <t xml:space="preserve">Generación de información inconsistente respecto a los bienes devolutivos y/o elementos de consumo controlado  en bodega o en servicio </t>
  </si>
  <si>
    <t xml:space="preserve">Posibilidad de afectación reputacional por quejas de los usuarios internos debido a la generación de información inconsistente respecto a los bienes devolutivos y/o elementos de consumo controlado en bodega o en servicio </t>
  </si>
  <si>
    <t>Los/as colaboradores/as del proceso Gestión de Inventarios, Almacén y Economato</t>
  </si>
  <si>
    <t xml:space="preserve">
Anualmente</t>
  </si>
  <si>
    <t>Verificar físicamente los elementos encontrados contra los registros del sistema</t>
  </si>
  <si>
    <t>Se realiza una toma física de inventarios integral, registrando lo observado  y verificando físicamente  los elementos encontrados contra los registros del sistema, con el fin de determinar su existencia y actualizar lo requerido.</t>
  </si>
  <si>
    <t xml:space="preserve">
Se deja registrada la novedad en el informe de toma física, si aplica</t>
  </si>
  <si>
    <t xml:space="preserve">Informe de toma física </t>
  </si>
  <si>
    <t>Control de Bienes Devolutivos y/o de Consumo Controlado en Servicio A-GIAE-PR-008</t>
  </si>
  <si>
    <t>De acuerdo con la periodicidad establecida en la matriz, este control se ejecuta de manera anual. Durante el presente periodo de monitoreo, la actividad se encuentra en fase de planeación. Por lo tanto, no se realizaron tomas físicas integrales en este cuatrimestre</t>
  </si>
  <si>
    <t>No se formulan acciones de fortalecimiento para la vigencia 2026. Los controles existentes se consideran suficientes y el cumplimiento de la toma física anual se verificará una vez se cumpla el periodo.</t>
  </si>
  <si>
    <t>No se materializó.</t>
  </si>
  <si>
    <t>A la fecha del corte, el control se reporta como "en proceso de planeación" de acuerdo a su periodicidad anual.</t>
  </si>
  <si>
    <t>Control No. 1:
 Este control se ejecutara en el ultimo cuatrimestre del año
Control No. 2. 
Se evidencia la aplicación del control con las 17 actas de tomas físicas aletaroias en diferentes sedes del instituto entres los meses de Enero a Abril.
Control No. 3: 
Se evidencia la aplicación del control desde el formato A-GIAE-FT006. 
Control No. 4: 
Se evidencia toma fisica de inventarios, documentado en el informe adjunto en donde no se evidencias faltantes.
No se requiere la aplicación de acción de fortalecimiento
No se materializó el riesgo
&amp;</t>
  </si>
  <si>
    <t xml:space="preserve">CONTROL 1
Se reportó que durante este periodo no se dio aplicación a la actividad de control
CONTROL 2
se evidenció la ejecución de la actividad de control
CONTROL 3
se evidenció la ejecución de la actividad de control
CONTROL 4
se evidenció la ejecución de la actividad de control
ACCIONES DE FORTALECIMIENTO
El proceso indica que “no se formulan acciones de fortalecimiento para la vigencia 2026, por cuanto los controles existentes se consideran suficientes y permiten mitigar el riesgo”
MATERIALIZACIÓN DEL RIESGO
No se materializo el riesgo
</t>
  </si>
  <si>
    <t>Los/as funcionarios/as o contratistas del proceso Gestión de Inventarios, Almacén y Economato</t>
  </si>
  <si>
    <t>Cada vez que se solicite por parte de la Gerencia de Recursos Físicos u otra dependencia, la realización tomas físicas selectivas y/o aleatorias</t>
  </si>
  <si>
    <t>Verificar físicamente una muestra de elementos determinados contra los registros del sistema, con el fin de determinar su existencia y  actualizar lo requerido.</t>
  </si>
  <si>
    <t>Se realiza una toma física de inventarios selectiva o aleatoria, registrando lo observado  y verificando físicamente  los elementos encontrados contra los registros del sistema, con el fin de determinar su existencia y actualizar lo requerido.</t>
  </si>
  <si>
    <t>Se deja registrada la novedad en el informe de toma física, si aplica</t>
  </si>
  <si>
    <t xml:space="preserve">Acta de toma física </t>
  </si>
  <si>
    <t>Se ejecutó el control mediante la realización de 17 tomas físicas selectivas y aleatorias en diferentes sedes y dependencias del Instituto. En cumplimiento del procedimiento A-GIAE-PR-008, se verificó físicamente una muestra de bienes contra los registros del sistema. El proceso incluyó actividades de replaqueteo,  actualización de etiquetas (placa de inventario) en bienes que presentaban deterioro, asegurando la correcta identificación y existencia de los activos. En cada visita se realizó una mesa de trabajo sobre la Directiva 008 de la Alcaldía Mayor (Artículo 4), instruyendo a los colaboradores de Instituto sobre la responsabilidad en la administración de activos.</t>
  </si>
  <si>
    <t>No se formulan acciones de fortalecimiento. Los controles actuales, basados en actas de visita y registros de asistencia, permiten mitigar el riesgo de inconsistencias de manera oportuna mediante verificaciones directas en sitio</t>
  </si>
  <si>
    <t>La ejecución de las tomas físicas selectivas permitió validar la integridad de los bienes devolutivos y de consumo controlado en servicio</t>
  </si>
  <si>
    <t>Los/as funcionarios/as o contratistas del proceso de Gestión de Inventarios, Almacén y Economato</t>
  </si>
  <si>
    <t>Cada vez que se requiera</t>
  </si>
  <si>
    <t>Verificar  la totalidad de los bienes de la dependencia o funcionario/a contra los registros del sistema</t>
  </si>
  <si>
    <t>Los/as funcionarios/as o contratistas del proceso de Gestión de Inventarios, Almacén y Economato, apoyan la toma física de los inventarios de una dependencia o funcionario con ocasión de traslados de los inventarios, registrando lo observado y verificando  la totalidad de los bienes de la dependencia o funcionario contra los registros del sistema, con el fin de determinar su existencia y actualizar lo requerido</t>
  </si>
  <si>
    <t>En caso de encontrarse información inconsistente respecto a los bienes devolutivos y/o elementos de consumo controlado en bodega o en servicio, se procede a realizar el ajuste en el sistema, de acuerdo con los documentos que acrediten la actualización o nueva ubicación de los bienes.</t>
  </si>
  <si>
    <t>Formato de traslado generado por el aplicativo sistematizado</t>
  </si>
  <si>
    <t>Manual de Procedimientos Administrativos y Operativos Para el Manejo y Control de los Bienes Muebles y Elementos del IDIPRON A-GIAE-MA-001</t>
  </si>
  <si>
    <t>Se ejecutó el control de traspasos mediante el formato A-GIAE-FT-006, conforme al procedimiento A-GIAE-PR-005. Se validaron físicamente y en el aplicativo los movimientos de activos entre dependencias. Se verificó el cumplimiento de las firmas del funcionario que entrega y quien recibe, garantizando la correcta transferencia de la responsabilidad administrativa de los bienes.</t>
  </si>
  <si>
    <t>No se formulan acciones adicionales; los controles actuales del procedimiento se consideran suficientes para mitigar el riesgo.</t>
  </si>
  <si>
    <t>El control permitió mantener actualizada la ubicación y custodia de los bienes devolutivos en servicio</t>
  </si>
  <si>
    <t xml:space="preserve">El/la funcionario/a o contratista de la Gerencia de Recursos Físicos que realiza la toma física </t>
  </si>
  <si>
    <t>En caso que se evidencie el faltante de un bien</t>
  </si>
  <si>
    <t xml:space="preserve">Validar el faltante de un bien </t>
  </si>
  <si>
    <t>En caso de que se evidencie el faltante de un bien y el/la responsable de este no pueda justificar el traslado o cambio de ubicación, el/la funcionario/a o contratista de la Gerencia de Recursos Físicos que realiza la toma física  incluirá en el acta las acciones a seguir para la ejecución del procedimiento A-GFI-PR-017 "Responsabilidad y trámite ante siniestro".</t>
  </si>
  <si>
    <t>En caso de no reportar el faltante de la toma física, el/la Gerente de recursos fisicos deberá reportar al reponsable de inventario para que continúe con el procedimiento de responsabilidad</t>
  </si>
  <si>
    <t>Acta de toma física</t>
  </si>
  <si>
    <t xml:space="preserve"> A-GFI-PR-017 Responsabilidad y trámite ante siniestro. </t>
  </si>
  <si>
    <t>Se realizó el monitoreo sobre la aplicación del procedimiento A-GFI-PR-017. Durante las 17 tomas físicas selectivas y los procesos de traslado realizados en el cuatrimestre, se validó la existencia de los bienes frente a los registros del sistema. Al no evidenciarse faltantes injustificados ni pérdida de elementos en las muestras verificadas, no se requirió la activación de las acciones correctivas ni la inclusión de procedimientos por siniestro en las actas de visita (no se requirió la activación de la ruta de reclamación ante aseguradoras ni la formulación de denuncias penales o actas de siniestro).</t>
  </si>
  <si>
    <t>No se formulan acciones de fortalecimiento. Los controles actuales permiten la detección oportuna de novedades y la ruta de respuesta ante siniestros se encuentra plenamente operativa.</t>
  </si>
  <si>
    <t>La efectividad de los controles preventivos anteriores (tomas físicas y control de traslados) evitó la materialización de siniestros.</t>
  </si>
  <si>
    <t xml:space="preserve">GESTION DOCUMENTAL								</t>
  </si>
  <si>
    <t xml:space="preserve">Establecer, organizar y dirigir la Gestión Documental del IDIPRON, con el fin de de planear y coordinar los procesos archivísticos necesarios para salvaguardar el patrimonio documental y disponerlo para los usuarios; Fijar políticas y expedir lineamientos para garantizar la conservación y el uso adecuado de los documentos (independientemente de su soporte), de conformidad con los planes y programas, promover la organización y fortalecimiento de los archivos en cada una de las sedes para garantizar la eficacia de la gestión de la información y conservación de la memoria institucional.								</t>
  </si>
  <si>
    <t xml:space="preserve">El proceso de gestión documental inicia desde la planeación estratégica de IDIPRON, involucra la formulación de directrices, procedimientos e instrumentos archivísticos, aplicables durante todo el ciclo vital del documento, así como la evaluación y mejora continua en los diferentes procesos archivísticos producción, gestión y tramite, organización, transferencia, Disposición final y Valoración Documental garantizando la conservación y preservación de la información 								</t>
  </si>
  <si>
    <t>Quejas o sanciones</t>
  </si>
  <si>
    <t>incumplimiento de los lineamientos en la radicación</t>
  </si>
  <si>
    <t>Posibilidad de afectación reputacional por quejas o sanciones debido al incumplimiento de los lineamientos en la radicación</t>
  </si>
  <si>
    <t>El /la servidor/a o contratista responsable de la radicación.</t>
  </si>
  <si>
    <t>Cada vez que se radique la comunicación</t>
  </si>
  <si>
    <t>Revisar cada comunicación oficial verificando que el formato utilizado cumpla con los criterios definidos.</t>
  </si>
  <si>
    <t>Se revisa cada comunicación oficial verificando que el formato utilizado sea el adecuado y corresponda a la versión actualizada, que contenga código de la oficina productora según TRD, que tenga firma del remitente, de la persona que proyecta, revisa y aprueba, que los anexos relacionados correspondan a lo mencionado en la comunicación y que contenga datos explícitos para dar gestión y trámite.</t>
  </si>
  <si>
    <t>En caso de que la comunicación no cumpla con alguno de los aspectos mencionados, ésta se devuelve a la dependencia productora para su revisión y ajuste.</t>
  </si>
  <si>
    <t>Comunicación oficial 
Correo electrónico con el ajuste a realizar ( Cuando aplique)</t>
  </si>
  <si>
    <t>Administración de las Comunicaciones Oficiales A-GDO-PR-002</t>
  </si>
  <si>
    <t>Comunicación oficial 
Correo electrónicos con el ajuste a realizar ( Cuando aplique)</t>
  </si>
  <si>
    <t>Realizar el envío mensual de piezas comunicacionales que indiquen la forma en que se deben solicitar la radicación de las comunicaciones oficiales.</t>
  </si>
  <si>
    <t>Gerente Administrativa</t>
  </si>
  <si>
    <t xml:space="preserve"> 01/04/2026 al 30/12/2026</t>
  </si>
  <si>
    <t>Durante el cuatrimestre, los encargados de la radicación revisaron meticulosamente cada documento que se recibió, ya sea por ventanilla o correo electrónico, con el propósito de radicarlo. Desde el 01 de enero hasta el 30 de abril, se radicaron un total de 6922 comunicaciones oficiales, las cuales se distribuyeron de la siguiente manera: 2422 fueron de tipo Interna Enviada, 2179 de tipo Externa Enviada y 2321 de tipo Externa Recibida.
Los documentos que se reciben con solicitud de radicación y los que no cumplen con los lineamientos establecidos, son devueltos con la solicitud de que sean corregidos para poder realizar el trámite de radicación correspondiente.
Se adjunta la base de datos de los documentos radicados.</t>
  </si>
  <si>
    <t>La solicitará modificación del plan de acción del riesgo, ajustando la periodicidad del envío de la comunicación.</t>
  </si>
  <si>
    <t>El proceso no reportó monitoreo</t>
  </si>
  <si>
    <t>Control 1:
Se reportó que durante este periodo no se dio aplicación a la actividad de control
No se materializo el riesgo
Control 2:
No se aportó evidencia que dé cuenta de la ejecución de la actividad de control
No se materializo el riesgo
Control 3:
Se reportó que durante este periodo no se dio aplicación a la actividad de control
No se materializo el riesgo
Acciones de fortalecimiento: No se aportó evidencia que dé cuenta de la ejecución de la actividad de controles</t>
  </si>
  <si>
    <t>El/la  servidor/a o contratista del proceso de Gestión Documental.</t>
  </si>
  <si>
    <t>Revisar la generación del reporte del aplicativo CORDIS, de las comunicaciones vencidas.</t>
  </si>
  <si>
    <t>A través de memorando, se envía un informe mensual donde se revisan las comunicaciones que se encuentran sin respuesta y se envía a los responsables de cada proceso para que realice las gestiones necesarias para el cierre del caso en el Cordis.</t>
  </si>
  <si>
    <t>En el momento de identificar la no realización del informe, se procede de manera inmediata a realizar y enviarlo a los procesos para continuar su gestión</t>
  </si>
  <si>
    <t xml:space="preserve">Memorando - Informe Mensual </t>
  </si>
  <si>
    <t>Correo electrónicos con el ajuste a realizar ( Cuando aplique)</t>
  </si>
  <si>
    <t xml:space="preserve">2. Se realizaron los Informe Mensuales del Sistema de Control Interno de Correspondencia (CORDIS)
Período cubierto: 1 de enero al 30 de abril de 2026.
Este informe se generó para registrar las comunicaciones oficiales pendientes de cierre. Se remitió a los responsables de cada proceso con el objetivo de facilitar las gestiones necesarias para el cierre de los casos en el CORDIS.
Como parte de este proceso, se envían memorandos reportando a las oficinas productoras estos hallazgos y se solicitó los ajustes necesarios. Según los datos arrojados por el CORDIS se puede evidenciar lo siguiente: 
Se remitieron los memorandos a las oficinas productoras solicitando los ajustes necesarios. Se adjuntan memorandos enviados.
</t>
  </si>
  <si>
    <t>El/la servidor/a o contratista responsable de la radicación.</t>
  </si>
  <si>
    <t xml:space="preserve">Cada vez que se detecta un documento con incumplimiento de los lineamientos en la radicación. </t>
  </si>
  <si>
    <t>Verificar el cumplimiento de los lineamientos en la radicación.</t>
  </si>
  <si>
    <t>Se verifica que el formato cumpla con los lineamientos establecidos en la circular 032 y lo definido en el A-GDO-PR-002 Procedimiento Administración de las Comunicaciones Oficiales.</t>
  </si>
  <si>
    <t>Se solicita al proceso dueño del documento mediante correo electrónico ajustar la información, radica si es necesario y gestiona nuevamente el documento.</t>
  </si>
  <si>
    <t>Memorando - Correo electrónico (Cuando aplique)</t>
  </si>
  <si>
    <t>Cada que se detecta un  documento con incumplimiento de los lineamientos  en la radicación</t>
  </si>
  <si>
    <t>Cada vez que se detectó un documento con incumplimiento de los lineamientos en la radicación, se envió correo con la solicitud de ajuste en su contenido o forma, a la dependencia productora para su correcta radicación. 
La revisión del documento previo al proceso de radicación, fue efectiva y ayudó a evitar reprocesos y a dar un trámite más oportuno a las comunicaciones, gracias a ello no se debieron realizar ajustes a los documentos ya radicados. Se adjuntan memorandos.</t>
  </si>
  <si>
    <t xml:space="preserve">Quejas o sanciones </t>
  </si>
  <si>
    <t xml:space="preserve">Perdida parcial o total de la memoria institucional ocasionada por el incumplimiento en los lineamientos establecidos para la intervención y custodia del acervo documental </t>
  </si>
  <si>
    <t xml:space="preserve">Posibilidad de afectación reputacional por queja o sanción debido a perdida parcial o total de la memoria institucional ocasionada por el incumplimiento en los lineamientos establecidos para la intervención y custodia del acervo documental </t>
  </si>
  <si>
    <t xml:space="preserve">Los/as profesionales archivistas </t>
  </si>
  <si>
    <r>
      <rPr>
        <sz val="12"/>
        <color rgb="FF000000"/>
        <rFont val="Times New Roman"/>
      </rPr>
      <t>Verificar la correcta intervención a los archivos de gestión</t>
    </r>
    <r>
      <rPr>
        <b/>
        <sz val="10"/>
        <color rgb="FF000000"/>
        <rFont val="Times New Roman"/>
      </rPr>
      <t>.</t>
    </r>
  </si>
  <si>
    <r>
      <rPr>
        <sz val="12"/>
        <color rgb="FF000000"/>
        <rFont val="Times New Roman"/>
      </rPr>
      <t>Se realizan visitas anuales a cada upi y dependencia de la entidad con el fin de verificar la correcta intervención a los archivos de gestión, como producto de cada visita se generan compromisos encaminados a mejorar la preservación de la documentación</t>
    </r>
    <r>
      <rPr>
        <b/>
        <sz val="10"/>
        <color rgb="FF000000"/>
        <rFont val="Times New Roman"/>
      </rPr>
      <t>.</t>
    </r>
  </si>
  <si>
    <t>En el caso de no completar las visitas programadas se realiza un informe anual, con la problemática presentada y plan de acción para la siguiente vigencia.</t>
  </si>
  <si>
    <t>Actas de visitas y listados de asistencias
Informe anual ( Cuando aplique)</t>
  </si>
  <si>
    <t>Se tiene documentado en el PINAR y PGD</t>
  </si>
  <si>
    <t>Las visitas se realizarán en el tercer cuatrimestre de la vigencia</t>
  </si>
  <si>
    <t>Control 1:
Se reportó que durante este periodo no se dio aplicación a la actividad de control
No se materializo el riesgo
Control 2:
Se reportó que durante este periodo no se dio aplicación a la actividad de control
No se materializo el riesgo
Control 3:
No se aportó evidencia que dé cuenta de la ejecución de la actividad de control
No se materializo el riesgo
Control 4:
Se reportó que durante este periodo no se dio aplicación a la actividad de control
No se materializo el riesgo
Control 5:
No se aportó evidencia que dé cuenta de la ejecución de la actividad de control
No se materializo el riesgo</t>
  </si>
  <si>
    <t xml:space="preserve"> El/la profesional archivista</t>
  </si>
  <si>
    <t xml:space="preserve">Verificar la correcta implementación del Sistema Integrado de Conservación en el componente del plan de conservación documental </t>
  </si>
  <si>
    <t>Realiza visitas anuales a cada upi y dependencia de la entidad con el fin de verificar la correcta implementación del Sistema Integrado de Conservación en el componente del plan de conservación documental, como producto de cada visita se generan solicitudes a las áreas de gestión ambiental, infraestructura y seguridad y salud en el trabajo, según corresponda con el fin de garantizar la correcta conservación de la documentación.</t>
  </si>
  <si>
    <t>En el caso de no completar las visitas programadas se realiza un informe anual, con la problemática presentada y plan de acción para la siguiente vigencia</t>
  </si>
  <si>
    <t>Actas de visitas, listados de asistencias y formato A-GDO-FT-017
Informe anual (Cuando aplique)</t>
  </si>
  <si>
    <t>Se encuentra documentado en el SIC</t>
  </si>
  <si>
    <t>El/la profesional archivista</t>
  </si>
  <si>
    <t xml:space="preserve">Trimestral </t>
  </si>
  <si>
    <t>Verificar el sistema de monitoreo de las condiciones ambientales implementado en el archivo misional, archivo central, archivo de contratación, archivo territorio (prevención y Territorio Calle), archivo componente educación.</t>
  </si>
  <si>
    <t>Se realizan visitas para verificar el sistema de monitoreo de las condiciones ambientales implementado en el archivo misional, archivo central, archivo de contratación, archivo territorio (prevención y Territorio Calle), archivo componente educación y se emiten alertas cuando detecta condiciones fuera del rango permitido en dichos archivos para determinar las causas que generaron la condición generadora de alerta, subsanando las alertas generadas y elaborando un informe trimestral con las novedades presentadas</t>
  </si>
  <si>
    <t>Se realizan los ajustes que estén afectando el ambiente y nuevamente se realiza la medición del sistema de monitoreo.</t>
  </si>
  <si>
    <t>Informe trimestral.</t>
  </si>
  <si>
    <t>Dispositivos sin calibración, ni licencia para la generación de informes</t>
  </si>
  <si>
    <t>Los/as servidores/as y contratistas del proceso de Gestión Documental.</t>
  </si>
  <si>
    <t>Cada que se presenta una solicitud de préstamo o consulta de expedientes</t>
  </si>
  <si>
    <t>Validar que se encuentre registrada la solicitud de consulta o préstamo en el formato establecido.</t>
  </si>
  <si>
    <t>Se verifica el diligenciamiento del formato A-GDO-FT-014 y, atienden las solicitudes que se encuentran bajo custodia del proceso llevando seguimiento y control a la correcta y oportuna devolución de los expedientes.</t>
  </si>
  <si>
    <t>Si la información del préstamo no es clara, completa o no corresponde, se solicita aclarar y ajustar para realizar el préstamo</t>
  </si>
  <si>
    <t xml:space="preserve">Formatos A-GDO-FT-014 diligenciados
Correo electrónico (Cuando aplique)
</t>
  </si>
  <si>
    <t xml:space="preserve">Consulta y Préstamo de Expedientes A-GDO-DI-011 </t>
  </si>
  <si>
    <t>Durante el periodo comprendido entre enero y abril de 2026, el proceso de Gestión Documental realizó 25 préstamos documentales en el archivo central. Se adjunta formatos A-GDO-FT-014 diligenciados.</t>
  </si>
  <si>
    <t>Los/as servidores/as y contratistas del proceso de Gestión Documental</t>
  </si>
  <si>
    <t>Diariamente</t>
  </si>
  <si>
    <t>Verificar la aplicación de las TRD y TVD.</t>
  </si>
  <si>
    <t>Se revisa la aplicación de las TRD y TVD y realizan control de calidad a los expedientes pertenecientes al Fondo Documental Acumulado ya conformados teniendo presente los principios de orden original y procedencia.</t>
  </si>
  <si>
    <t xml:space="preserve"> En caso de detectar incumplimientos a los lineamientos y directrices establecidos por los órganos rectores, realizan intervención y ajuste de los expedientes y se ajusta el inventario documental.</t>
  </si>
  <si>
    <t>Formato Único de Inventario Documental actualizado</t>
  </si>
  <si>
    <t>Plan Institucional de Archivo  PINAR</t>
  </si>
  <si>
    <t>En el Archivo Central se realizó la intervención de 769 expedientes, los cuales corresponden a 217 cajas de la serie documental Contratos, pertenecientes a las vigencias 2012 y 2013.</t>
  </si>
  <si>
    <t>Quejas o Sanciones</t>
  </si>
  <si>
    <t>No contar o tener desactualizados los instrumentos archivísticos</t>
  </si>
  <si>
    <t>Posibilidad de afectación reputacional por quejas o sanciones debido a no contar o tener desactualizados los instrumentos archivísticos del Instituto</t>
  </si>
  <si>
    <t>Los/as profesionales del proceso de Gestión Documental designados/as- Gerencia operativa</t>
  </si>
  <si>
    <t>Revisar todos los instrumentos archivísticos, verificando el cumplimiento de la normatividad vigente y las necesidades identificadas en la entidad a fin de determinar la pertinencia de su actualización.</t>
  </si>
  <si>
    <t>Realizan la revisión a todos los instrumentos archivísticos, verificando el cumplimiento de la normatividad vigente y las necesidades identificadas en la entidad a fin de determinar la pertinencia de su actualización.</t>
  </si>
  <si>
    <t>Cuando detecta la desactualización de los instrumentos archivísticos, se gestiona la actualización de los instrumentos y su oficialización en el SIGID.</t>
  </si>
  <si>
    <t xml:space="preserve">Acta de reunión /  Instrumento archivístico actualizado y aprobado por el CIGD </t>
  </si>
  <si>
    <t>PROGRAMA DE GESTIÓN DOCUMENTAL A-GDO-DI-001</t>
  </si>
  <si>
    <t>Realizar la actualización de los instrumentos archivísticos: PINAR, Programa de Gestión Documental PGD y Política de Gestión Documental.</t>
  </si>
  <si>
    <t>01/06/2026 al 30/12/2026</t>
  </si>
  <si>
    <t>Se realizó la actualización de la Política de Gestión Documental el 2/03/2026, falta la aprobación del Comité Institucional de Gestión y Desempeño.</t>
  </si>
  <si>
    <t>Se realizó la actualización de la Política de Gestión Documental el 2/03/2026</t>
  </si>
  <si>
    <t xml:space="preserve">No se materializó el riesgo </t>
  </si>
  <si>
    <t xml:space="preserve">El proceso no reportó monitoreo
</t>
  </si>
  <si>
    <t>Control 1:
Se reportó que durante este periodo no se dio aplicación a la actividad de control
No se materilizo el riesgo</t>
  </si>
  <si>
    <t>GESTION DE SERVICIOS ADMINISTRATIVOS</t>
  </si>
  <si>
    <t>Satisfacer las necesidades del IDIPRON mediante la prestación de los servicios administrativos de apoyo, con el fin de garantizar el servicio de vigilancia, transporte, mantenimiento preventivo y correctivo del parque automotor y equipos industriales y el suministro de combustible; con criterios de oportunidad y calidad.</t>
  </si>
  <si>
    <t>El proceso inicia desde la contratación de los servicios requeridos, los cuales son administrados y puestos a disposición de los diferentes procesos definidos por el IDIPRON para el cumplimiento de su misión, realizando periódicamente acciones de mantenimientos, seguridad y transporte y termina con la retroalimentación en la calidad de los servicios prestados.</t>
  </si>
  <si>
    <t>Perdidas de bienes, Multas,  Demandas.</t>
  </si>
  <si>
    <t>Incumplimiento de los lineamientos establecidos para el control de los servicios administrativos</t>
  </si>
  <si>
    <t>Posibilidad de afectación reputacional por perdida de bienes, multas o demandas contra la entidad debido a Incumplimiento de los lineamientos establecidos para el control de los servicios administrativos</t>
  </si>
  <si>
    <t>Los/as vigilantes asignados/as a las sedes de la entidad</t>
  </si>
  <si>
    <t>Verificar el ingreso y salida de bienes</t>
  </si>
  <si>
    <t xml:space="preserve">Se debe realizar revisión de los bolsos al personal que ingresa y se retira de las sedes de la entidad y se registra en el formato A-GAMB-FT-006 cuando exista el ingreso o el retiro de un bien. </t>
  </si>
  <si>
    <t xml:space="preserve">En caso de detectar la salida de un bien que no cuenta con la autorización requerida, solicita se realicen las gestiones necesarias para documentar la autorización de salida. </t>
  </si>
  <si>
    <t xml:space="preserve">Informe mensual de vigilancia y minuta </t>
  </si>
  <si>
    <t>Se encuentra documentado en el Protocolo de Seguridad para el Acceso A-GSA-DI-001</t>
  </si>
  <si>
    <t>Formatos de salida de los bienes y/o Informe de Vigilancia</t>
  </si>
  <si>
    <t>Realizar una (1) capacitación al personal del proceso con temas relacionados con los controels asociados al riesgo
EVIDENCIAS: Lista de asistencia / Presentación o evidencia fotográfica</t>
  </si>
  <si>
    <t xml:space="preserve">Gerente Administrativo
Funcionario/ contratista asignado del proceso
</t>
  </si>
  <si>
    <t xml:space="preserve">"Para el primer cuatrimestre del 2026 los vigilantes asignados a las sedes de la entidad verificaron diariamente el ingreso de elementos, los cuales son anotados en las minutas de seguridad escribiendo tipo de elemento, serial y/o número de placa de inventario, estas minutas se encuentran en cada una de las sedes y son verificadas por el supervisor, y dejando registro de las novedades en caso de ser encontradas".
Así mismo, se realiza la inspección a la salida de cada funcionario cuando portan bolsos y/o maletas.
</t>
  </si>
  <si>
    <t>Se indica que del proceso de vigilancia no se tienen informes de vigilancia y las entradas y salidad de los meses de enero, esto debido a los problemas de cambio de personal</t>
  </si>
  <si>
    <t>De acuerdo con el la evidencia reportada por el porceso se observa que se cargaron las minutas de control de entradas y salidas de elementos, las minutas de control de minutas de control electronico y un correo electronico de novedades de vigilancia, pero no se evidencia el informe mensual de vigilancia. 
&amp;</t>
  </si>
  <si>
    <t>El/la funcionario/a o contratista del componente de transporte.</t>
  </si>
  <si>
    <t>Quincenalmente</t>
  </si>
  <si>
    <t>Revisar las bases de datos del SIMIT y movilidad.</t>
  </si>
  <si>
    <t xml:space="preserve">Para determinar la existencia de comparendos a cargo de la Entidad, se verifica a través de la página web de entidades encargadas de movilidad sobre la existencia de comparendos </t>
  </si>
  <si>
    <t>En caso de que se encuentren comparendos a cargos de la entidad, se informa el conductor responsable del vehículo para que realice las gestiones del pago.
Evidencia: Pantallazos de las validaciones, archivo Excel de seguimiento. Correo electrónico  (cuando aplique)</t>
  </si>
  <si>
    <t>Pantallazos de las validaciones, archivo Excel de seguimiento. Correo electrónico  (cuando aplique)</t>
  </si>
  <si>
    <t>Se encuentra documentado en el instructivo Seguimiento a las Sanciones y Comparendos al Parque Automotor de la Entidad A-GSA-IN-003</t>
  </si>
  <si>
    <t>En el primer cuatrimestre del 2026 se realizó quincenalmente seguimiento y control a las infracciones de tránsito en las plataformas Runt y Movilidad Bogotá para verificar el estado de las infracciones por conductor y vehículo de la entidad, donde se evidencio un comparendo de Sergio Eduardo Jaimes con C.C 1023860981 impuesto el 26/02/2026 y de los vehículos; BJT201,  el cual ya se encuentran cancelado y el vehículo ock 311, se evidencia que el vehículo de placas OCK309 presenta dos comparendos en (SIMIT) y (SM) por foto detección, uno impuesto el 02/08/2025, el valor a pagar es de $ 604.100 y otro impuesto el 13/12/2025 por un valor de $ 604.100, se encuentra en validación con la secretaria d movilidad.  Se adjunta Archivo de control y seguimiento de comparendos, pagos y registro de los mismos en el RUNT, SIMIT y Secretaria de Movilidad de Bogotá.</t>
  </si>
  <si>
    <t>De acuerdo a la evidencia cargada, se observan las actas de comparendo, las bases de consulta de conductores, la base de consulta de vehículos  y el archivo de base de datos de condeuctores en Excel, correspondiente a los meses de enero a abril. 
&amp;</t>
  </si>
  <si>
    <t>Funcionario/a o contratista asignado</t>
  </si>
  <si>
    <t>Cada mes</t>
  </si>
  <si>
    <t>Verificar en el seguimiento mensual los reportes asociados a exceso de velocidad generados por los dispositivos GPS</t>
  </si>
  <si>
    <t>Los dispositivo GPS generan alerta cada vez que  se exceden los límites de velocidad establecido en la aplicación  que es monitoreada por el área de transporte . Por tal razón se revisan en el periodo definido generando el reporte de exceso de los límite de velocidad a cada uno de los conductores.</t>
  </si>
  <si>
    <t xml:space="preserve">Cuando en el informe quincenal se detecta que un conductor presentó exceso de velocidad durante un tiempo superior a cinco minutos, se informa al conductor responsable del vehículo para que cumpla con las normas de tránsito, </t>
  </si>
  <si>
    <t>Correo electrónico enviado a los conductores o en el Acta de Verificación de los excesos de los límites de velocidad.</t>
  </si>
  <si>
    <t>A-GSA-DI-002 POLÍTICA DE SEGURIDAD, OPERACIÓN 
Y BUENAS PRÁCTICAS PARA LA 
GESTIÓN DEL TRANSPORTE</t>
  </si>
  <si>
    <t>Conforme a las alertas generadas en el tercer cuatrimestre por la plataforma de GPS, se evidenciaron algunos excesos de velocidad superiores a 5 minutos y se les informo verbalmente a los conductores que presentaron el respectivo exceso de velocidad con el fin que acaten las normas de tránsito.</t>
  </si>
  <si>
    <t>De acuerdo a la evidencia cargada por el proceso, se observa unas actas de Informe de seguimiento y/o advertencia a los conductores por exceso de velocidad., las cuales contienen los pantallazos de control de velocidad por placa vehicular, correspondientes a los meses de enero a abril. 
&amp;</t>
  </si>
  <si>
    <t>El/la funcionario/a  o contratista encargado/a del trámite de pago de servicios públicos.</t>
  </si>
  <si>
    <t>Verificar  las fechas oportunas y valores de pago de los servicios públicos y privados</t>
  </si>
  <si>
    <t>Se realiza la revisión del conglomerado de facturas de servicios privados y públicos de la sede del IDIPRON, registrando las fechas oportunas de pago y valor a pagar en el formato de trazabilidad de servicios públicos A-GSA-FT-014 y realiza el envío del formato a contabilidad para que se efectúe el pago respectivo.</t>
  </si>
  <si>
    <t>En el caso que se encuentren diferencias en la  información registrada, antes de  enviar a contabilidad, se realiza los ajustes correspondientes. Si la información fue remitida con errores a contabilidad, esta será devuelta para ajuste y posterior envío.</t>
  </si>
  <si>
    <t>Formato Conglomerado y trazabilidad  de servicios A-GSA-FT-014
Correo electrónico con solicitud de ajuste (Cuando aplique)</t>
  </si>
  <si>
    <t>Se encuentra documentado en el procedimiento Gestión, Control y Pago de Servicios Públicos y Provados e Impuestos A-GSA-PR-004</t>
  </si>
  <si>
    <t xml:space="preserve">
En el primer cuatrimestre el encargado de los servicios públicos mensualmente realiza el diligenciamiento del formato conglomerado y trazabilidad de servicios públicos A-GSA-FT-014 de los servicios públicos registrado fechas de pagos oportunos y fechas de suspensión para ser enviados al área tesorería dentro de los tiempos establecidos en el procedimiento de servicios públicos y así evitar cortes y cobros por reconexiones e interés de mora por demora en el pago. </t>
  </si>
  <si>
    <t>Según la evidencia que se requiere para este control, se observan los formatos Conglomerado y trazabilidad  de servicios A-GSA-FT-014 de enero al mes de abril. 
&amp;</t>
  </si>
  <si>
    <t>El/la funcionario/a o contratista responsable de los seguros.</t>
  </si>
  <si>
    <t>Cada vez que se reporte el hurto pérdida o daño de un bien de propiedad de la entidad</t>
  </si>
  <si>
    <t>Verificar se cuente con los documentos requeridos para iniciar el proceso de reclamación dentro del término de ley.</t>
  </si>
  <si>
    <t>Una vez se cuente con los documentos requeridos se procede con la formalización de la reclamación a la aseguradora.</t>
  </si>
  <si>
    <t>Se debe completar la información faltante para realizar nuevamente el proceso de reclamación a la aseguradora</t>
  </si>
  <si>
    <t>Documentos de la solicitud de la reclamación realizada</t>
  </si>
  <si>
    <t>Responsabilidades y trámite ante siniestros A-GFI-PR-017</t>
  </si>
  <si>
    <t xml:space="preserve">
Durante este periodo comprendido enttre enero-abril se registraron los siguientes siniestros:
HURTO DE DISPOSITIVO MOVIL TABLET SAMSUNG GALAXY TAB ACTIVE 3, COLOR NEGRO, IDENTIFICADA CON PLACA INVENTARIO No 646370, HECHOS OCURRIDOS EL DÍA LUNES 19 DE ENERO DE 2026 EN VIA PUBLICA, EN DESARROLLO DE ACTIVIDADES DEL CONVENIO INTERADMINISTRATIVO No 610/2025 SCRD – IDIPRON.
HURTO DE COMPUTADOR PORTATIL MARCA HEWLETT PACKARD, IDENTIFICADO CON PLACA INVENTARIO No 644495, ASIGNADO A LA GERENCIA OPERATIVA DE IDIPRON, HECHOS OCURRIDOS EL DÍA MIERCOLES 18 DE MARZO DE 2026 EN VIA PUBLICA.
De acuerdo con lo anterior, se remiten documentos que soportan el inicio de dicha reclamación:
* Informe de los Hechos, suscrito por el responsable de los bienes.
* Correo Electrónico de "Aviso de Siniestro" enviado a la Firma Aseguradora.
* Memorando de respuesta al funcionario que reporta el siniestro. </t>
  </si>
  <si>
    <t>De acuerrdo con la evidencia cargada por el proceso,se observan dos carpatas que contienen los documentos de los casos de siniestros (hurto) que soportan la  solicitud de reclamasión.
No se materializa el riesgo. 
No cuentan con acciones de forttalecimiento. 
&amp;</t>
  </si>
  <si>
    <t xml:space="preserve">Las quejas o la insatisfacción de los usuarios </t>
  </si>
  <si>
    <t>Por incumplimiento o mala prestación de los servicios administrativos</t>
  </si>
  <si>
    <t>Posibilidad de afectación reputacional por quejas o insatisfacción de los usuarios debido a incumplimiento o mala prestación de los servicios administrativos</t>
  </si>
  <si>
    <t>Los/as responsables asignados/as por la gerencia administrativa.</t>
  </si>
  <si>
    <t>Cada vez que se recibe una solicitud de servicio.</t>
  </si>
  <si>
    <t>Verificar que la solicitud a través del Aplicativo ARANDA se haya gestionado.</t>
  </si>
  <si>
    <t>Se revisa la trazabilidad desde el momento de la solicitud hasta el cierre del caso en los tiempos establecidos para cada situación.</t>
  </si>
  <si>
    <t>En caso que se detecte un caso en ARANDA que no se haya gestionado,  se envía un correo al responsable del proceso.</t>
  </si>
  <si>
    <t>El reporte en Aranda 
(correo electrónico cuando aplique)</t>
  </si>
  <si>
    <t>No se encuentra documentado</t>
  </si>
  <si>
    <t>Realizar (1) una capacitación al personal de servicios generales respecto a los lineamientos que deben tener en cuenta en la prestación de su servicio y al correcto diligenciamiento de los formatos del proceso.</t>
  </si>
  <si>
    <t xml:space="preserve">Gerencia Administrativa
</t>
  </si>
  <si>
    <t>01/06/2026 al 15/12/2026</t>
  </si>
  <si>
    <t>Durante el primer cuatrimestre se recibieron:
Enero: Se recibieron 1 solicitudes de servicio (auditorio calle 61)
Febrero: Se recibieron 1 solicitudes de servicio  (auditorio calle 61).
Marzo: Se recibieron 12 solicitudes de servicio (auditorio calle 61).
Abril: Se recibieron 1 solicitudes de servicio (Gauditorio calle 61).
Para un total en el segundo cuatrimestre de 15 solicitudes a las cuales se les dio solución en los tiempos establecidos</t>
  </si>
  <si>
    <t>No se pudo obtener la inofrmación completa del proceso de Arandapor novedades en el usuario.</t>
  </si>
  <si>
    <t>De acuerdo a la evidencia cargada por el proceso, se observan las actas de consolidación de solicitudes recibidas y gestionadas para la asignación y reserva del auditorio de la sede Calle 61, correspondientes a los meses de enero a abril, junto con la base en Excel con la consolidación de solicitudes gesttionadas del auditorio de la calle 61.
&amp;</t>
  </si>
  <si>
    <t>El/la funcionario/a o contratista del componente de transportes</t>
  </si>
  <si>
    <t>Cada vez que se recibe una solicitud de transporte.</t>
  </si>
  <si>
    <t>Revisar que las solicitud de los servicios de transporte que sean viables, cuenten con el formato debidamente  diligenciado</t>
  </si>
  <si>
    <t>Se verifica que el formato diligenciado por el usuario, contenga el punto de inicio de recorrido, fecha, hora y número de pasajeros, y determina la disponibilidad y tipo de vehículo para la prestación del servicio.</t>
  </si>
  <si>
    <t>se remite correo electrónico al solicitante para que ajuste el formato diligenciado dentro del tiempo definido o si no se cierra el caso</t>
  </si>
  <si>
    <t>Solicitud de servicio de transporte A-GSA-FT-008
correo electrónico cuando aplique.</t>
  </si>
  <si>
    <t>Administración del Parque Automotor A-GSA-PR-003</t>
  </si>
  <si>
    <t>Durante el primer cuatrimestre del 2026, diariamente el profesional y/o contratista encargado de las programaciones de los servicios de transporte recibió un total de 1398  solicitudes de transporte, de las cuales se prestó el servicio de transporte a 1390, dejando de atender 8 por cancelación de los funcionarios, flota ocupada por servicios prioritarios, programaciones a último hora y servicios mal programados, adicionalmente el profesional y/o contratista revisó que el formato de solicitud de Transporte A-GSA-FT-008 estuviese completamente diligenciado y firmado por la persona responsable del área y/o subdirección.</t>
  </si>
  <si>
    <t>De acuerdo con la evidencia que adjunta el proceso se observa que  los formatos de solicitud de Transporte A-GSA-FT-008 se encuentran cortados, es decir no cuentan con el encabezado ni firmas, por otro lado adjuntan cuadro Excel con el seguimiento de solicitudes cuatrimestral.
&amp;</t>
  </si>
  <si>
    <t xml:space="preserve">Semanalmente </t>
  </si>
  <si>
    <t>Revisar el formato de control de recorridos entregado por los conductores de la flota propia del IDIPRON,.</t>
  </si>
  <si>
    <t>revisando su Diligenciamiento y analizando las observaciones plasmadas por el usuario del servicio.</t>
  </si>
  <si>
    <t>en caso de encontrar inconformidades se retroalimenta al conductor para que no se repita.</t>
  </si>
  <si>
    <t>Formato Control de Recorrido A-GSA-FT-009</t>
  </si>
  <si>
    <t>Realizar una (1) capacitación al personal de servicios generales respecto a los lineamientos que deben tener en cuenta en la prestación de su servicio y al correcto diligenciamiento de los formatos del proceso</t>
  </si>
  <si>
    <t>Gerencia Administrativa</t>
  </si>
  <si>
    <t>01/06/2025 al 15/12/2025</t>
  </si>
  <si>
    <t xml:space="preserve">Durante el primer cuatrimestre se prestaron los servicios de transporte con la flota propia de la siguiente manera: 
Enero un total de 183 servicios
Febrero un total de 293 servicios
Marzo un total de 341 servicios
Abril un total de 294 servicios
Para un total en el primer cuatrimestre de 1111 servicios, donde el profesional y/o contratista encargado de recibir el formato de planilla ¨Formato Control de Recorridos A-GSA-FT-009¨ reviso que estuviese completamente diligenciado y verifica si se encuentra alguna observación por el funcionario que solicito el servicio.
</t>
  </si>
  <si>
    <t>Se observa que el proceso adjunta como evidencia los formatos Control de Recorrido A-GSA-FT-009, correspondientes a los meses de enero a abril. 
&amp;</t>
  </si>
  <si>
    <t>Los/as responsables asignados por la gerencia administrativa</t>
  </si>
  <si>
    <t>Verificar el seguimiento a las PQR recibidas relacionadas con los servicios prestados por la Gerencia Administrativa.</t>
  </si>
  <si>
    <t>se realiza informando a los responsables de la respuesta a través de correo electrónico las peticiones asignadas y las próximas a vencer.</t>
  </si>
  <si>
    <t>Se notifica por correo electrónico a la persona encargada para que dé respuesta inmediata.</t>
  </si>
  <si>
    <t>Correos electrónicos</t>
  </si>
  <si>
    <t>En el primer cuatrimestre del presente año se presentaron 3 procesos de PQR, a los cuales se les dio respuesta por parte de la Gerencia Administrativa.</t>
  </si>
  <si>
    <t>De acuerdo con la evidencia, se observa que el proceso adjunta los correos electrónicos de seguimiento a los PQRS y a un derecho de petición que se le dieron respuesta por parte de la gerencia administrativa. 
No se materializa el riesgo. 
No se cuenta con acciones de fortalecimineto. 
&amp;</t>
  </si>
  <si>
    <t>1 DE 1</t>
  </si>
  <si>
    <t>GESTION DE ADECUACIÓN Y MANTENIMIENTO DE BIENES</t>
  </si>
  <si>
    <t>Garantizar las condiciones mínimas de calidad y habitabilidad de nuestros Niños, Niñas, Adolescentes y Jóvenes (NNAJ) y de todos los procesos del Instituto a través del mantenimiento físico preventivo y correctivo de bienes muebles e inmuebles que componen la infraestructura del IDIPRON, con el fin de fortalecer la gestión administrativa, de comunicaciones e infraestructura de conformidad con los lineamientos legales establecidos.</t>
  </si>
  <si>
    <t xml:space="preserve">El proceso inicia con el cronograma de las actividades a realizar y la contratación de los servicios requeridos, los cuales son administrados y puestos a disposición de los diferentes procesos definidos por el IDIPRON para el cumplimiento de su misión, así mismo se realizan periódicamente acciones preventivas o de mantenimiento a los Bienes muebles e inmuebles, equipos y maquinaria, como a la infraestructura física y termina con la retroalimentación en la calidad de los servicios prestados. </t>
  </si>
  <si>
    <t>Quejas y denuncias</t>
  </si>
  <si>
    <t>Incumplimiento de las condiciones mínimas de calidad y habitabilidad de los bienes muebles e inmuebles del Instituto</t>
  </si>
  <si>
    <t>Posibilidad de afectación reputacional por quejas o denuncias debido a incumplimiento de las condiciones mínimas de calidad y/o habitabilidad de la infraestructura física del Instituto o que se encuentran bajo su administración</t>
  </si>
  <si>
    <t>El/la líder del proceso de Gestión de Adecuación y Mantenimiento de Bienes</t>
  </si>
  <si>
    <t xml:space="preserve">Anualmente </t>
  </si>
  <si>
    <t>Verificar las necesidades de las unidades y sedes administrativas a intervenir</t>
  </si>
  <si>
    <t>Verificando que se dé prioridad a las necesidades identificadas en los  diagnósticos generales de las unidades y sedes administrativas por parte de los profesionales del proceso que realizan los diagnósticos de las UPIS y sedes, para proyectar el plan de mantenimiento anual</t>
  </si>
  <si>
    <t>El/a líder de procesoal determinar necesidades no identificadas por los/as profesionales del proceso asignados a la elaboración del diagnóstico, e incorpora una nueva necesidad en el plan de mantenimiento anual</t>
  </si>
  <si>
    <t>Plan de mantenimiento formulado</t>
  </si>
  <si>
    <t>Procedimientos Mantenimiento Bienes Inmuebles A-MBI-PR- 001 y Procedimiento Mantenimiento de Equipos A-MBI-PR-002</t>
  </si>
  <si>
    <t>Revisar los documentos del proceso a fin de incluir en ellos, el control 5 asociado a las PQRS</t>
  </si>
  <si>
    <t>Líder del proceso de Gestión de Adecuación y Mantenimiento de Bienes</t>
  </si>
  <si>
    <t xml:space="preserve"> 31/10/2026</t>
  </si>
  <si>
    <t>El Gerente de Recursos Físicos en conjunto con el equipo de Gestión de Adecuación y Mantenimiento de Bienes se reunen para realizar el seguimiento del plan anual de mantenimiento en su formulación, ejecución y avance, para dar cumplimiento en la vigencia 2026 priorizando las intervenciones a realizar para dar cumplimiento.</t>
  </si>
  <si>
    <t>Se revisaron los documentos del proceso, con el fin de actualizarlos e incluir en los procedimientos y en el manual los controles definidos para mitigar los riesgos. ("Manual - Procesos de Apoyo – Gestión de Adecuación y Mantenimiento de Bienes de “001 CUIDADO Y MANTENIMIENTO DE LA INFRAESTRUCTURA A-GAMB-MA-001")</t>
  </si>
  <si>
    <t>De acuerdo a la envidencia cargada, se observa lo requerido en el control, el plan anual de mantenimiento por cada unidad de proteccion y l,os costo asociados para su intertvención.  
&amp;</t>
  </si>
  <si>
    <t>Se evidencia la ejecución del control con el aporte del plan de mantenimiento anual de las UPIS, en el cual se identifican las actividades a realizar durante la vigencia, sin embargo no se evidencian estas mismas para las Sedes, adicionalmente se recomienda desde la Oficina de Contril Interno diligenciar en el archivo del plan de mantenimiento anual el seguimientro trimestral que se muestra en dicha matriz.</t>
  </si>
  <si>
    <t>Los/as profesionales del proceso de Gestión de Adecuación y Mantenimiento de Bienes</t>
  </si>
  <si>
    <t xml:space="preserve"> Verificar las condiciones de  habitabilidad y el estado de los inmuebles de las sedes y  UPIS</t>
  </si>
  <si>
    <t>Se elabora un diagnóstico general  y un diagnóstico de accesibilidad de las unidades y sedes administrativas, verificando  las condiciones de habitabilidad y el estado de los inmuebles, así como el cumplimiento de la normatividad vigente.</t>
  </si>
  <si>
    <t xml:space="preserve">Se entrega un reporte mediante memorando a la Alta Dirección informando que las condiciones no están dadas para habitabilidad </t>
  </si>
  <si>
    <t xml:space="preserve">Formato Diagnóstico técnico general de bien inmueble A-GAMB-FT-012
Memorando ( Cuando aplique)
</t>
  </si>
  <si>
    <t>001 CUIDADO Y MANTENIMIENTO DE LA INFRAESTRUCTURA A-GAMB-MA-001</t>
  </si>
  <si>
    <t>Los profesionales elaboraron el diagnóstico técnico general de las unidades y sedes administrativas, donde se verificaron las condiciones y cumplimiento de normatividad de cada inmueble.</t>
  </si>
  <si>
    <t>De acuerdo con la evidencia cargada por el proceso, se observan los formatos de Diagnóstico técnico general de bien inmueble A-GAMB-FT-012, de cada uno de las Upis y sedes adminsitrativas.
&amp;</t>
  </si>
  <si>
    <t>Se evidencia la ejecución del control con el aporte de los formatos de DIAGNÓSTICO TÉCNICO GENERAL DEL BIEN INMUEBLE donde se verificaron las condiciones y cumplimiento de normatividad de cada inmueble tanto de las Upis como de las sedes adminsitrativas</t>
  </si>
  <si>
    <t>El/la Gerente de Recursos Físicos y su equipo de trabajo</t>
  </si>
  <si>
    <t xml:space="preserve">Verificar los avances obtenidos contra la programación realizada dentro del Plan Anual de Mantenimiento </t>
  </si>
  <si>
    <t>Se supervisa la oportuna  ejecución del plan de mantenimiento y el cumplimiento de las acciones programadas verificando los avances obtenidos contra la programación realizada a través de reunión</t>
  </si>
  <si>
    <t>En caso de que se determinen atrasos o incumplimientos en las acciones planeadas se generan acciones de contingencia que permitan avanzar en el cumplimiento del plan.</t>
  </si>
  <si>
    <t>Acta de reunión</t>
  </si>
  <si>
    <t xml:space="preserve">MANTENIMIENTO DE BIENES INMUEBLES A-GAMB-PR-001 </t>
  </si>
  <si>
    <t>Se realizó reunión trimestral del proceso de Gestión de Adecuación y Mantenimiento de Bienes del primer trimestre para el seguimiento del Plan de Mantenimiento de la Infraestructura de la vigencia 2026, se verificó el avance del mismo y se prioriza las actividades  para dar cumplimiento.</t>
  </si>
  <si>
    <t>De acuerdo a la evidencia cargada, se observa que el proceso adjunta las actas de  Control de Inspección y Ejecución de Mantenimiento de Bienes e Infraestructura correspondientes a los meses de enero, febrero y marzo. 
&amp;</t>
  </si>
  <si>
    <t>Se evidencia la ejecución del control con el aporte de las actas de reunión que dan cuenta de las actividades ejecutadas frente a lo planteado en el Plan de Mantenimiento de la Infraestructura de la vigencia 2026</t>
  </si>
  <si>
    <t xml:space="preserve">Cuando se presenta un imprevisto que afecte la habitabilidad de un bien inmueble y/o calidad de equipos </t>
  </si>
  <si>
    <t>Verificar el imprevisto y los recursos para su atención en el menor tiempo posible</t>
  </si>
  <si>
    <t>El proceso de Gestión de Adecuación y Mantenimiento de Bienes verifica la situación, realiza diagnóstico, se solicitan los materiales y se realiza la intervención en el menor tiempo posible.</t>
  </si>
  <si>
    <t>Si no se cuenta con los recursos para atender los imprevistos, no atienden de manera inmediata, dejando en el Formato de  Control de Inspección y Ejecución de mantenimiento de Bienes e Infraestructura, la anotación que queda pendiente la atención del imprevisto</t>
  </si>
  <si>
    <t xml:space="preserve">Formato de  Control de Inspección y Ejecución de mantenimiento de Bienes e Infraestructura  A-GAMB-FT-007
</t>
  </si>
  <si>
    <t>001 MANTENIMIENTO DE BIENES INMUEBLES A-MBI-PR-001</t>
  </si>
  <si>
    <t xml:space="preserve">Se atendió oportuna y eficazmente la emergencia se hace reparación de tuberia por filtración de agua en moto bombas UPI la 27 atendido el 26/02/2026 
</t>
  </si>
  <si>
    <t xml:space="preserve">Conforme a la evidencia cargada por el proceso, se observa el  Formato de  Control de Inspección y Ejecución de mantenimiento de Bienes e Infraestructura  A-GAMB-FT-007, correspondeinte al mes de febrero.
&amp;
 </t>
  </si>
  <si>
    <t>Se evidencia la ejecución del control con el aporte de  Formato de  Control de Inspección y Ejecución de mantenimiento de Bienes e Infraestructura  A-GAMB-FT-007, en el cual se evidencia que se atendió oportuna y eficazmente la emergencia en el mes de febrero, la cual hace referencia a la reparación de tuberia por filtración de agua en moto bombas de la UPI la 27.</t>
  </si>
  <si>
    <t xml:space="preserve">El/la profesional delegado por la Gerencia de Recursos Físicos </t>
  </si>
  <si>
    <t>En caso de que se reciban PQRS relacionadas con la situación de calidad y/o habitabilidad de la infraestructura física del Instituto</t>
  </si>
  <si>
    <t xml:space="preserve">Verificar los casos asignados de PQRS relacionadas al proceso de Gestión y Adecuación de Mantenimiento de Bienes para dar respuesta oportuna </t>
  </si>
  <si>
    <t xml:space="preserve">Se identifica mediante el correo electrónico de la gerencia de Recursos Físicos, la asignación por parte de Atención al Ciudadano de PQRS relacionada con la infraestructura o inmuebles, se identifica si es posible realizar las intervenciones requeridas y se analiza para dar respuesta a la PQRS asignada </t>
  </si>
  <si>
    <t>En el caso que no se responda la PQRS en los tiempos determinados, se procede a dar respuesta inmediata a la PQRS</t>
  </si>
  <si>
    <t>Respuesta a la PQRS en el aplicativo Bogotá Te Escucha y correo electrónico a Atención al Ciudadano con la respuesta generada</t>
  </si>
  <si>
    <t>No se recibieron PQRS relacionadas con la misma situación de calidad y/o habitabilidad de la infraestructura física del Instituto en la misma UPI.</t>
  </si>
  <si>
    <t>No se observa información cargada por el procesa en la carpeta dispuesta para ello, puesto que informan que no fueron recibidos PQRS para su respuesta. 
&amp;</t>
  </si>
  <si>
    <t>No se aporta información para el periodo reportado teniendo en cuenta que no fueron allegadas PQRS relacionadas con la situación de calidad y/o habitabilidad de la infraestructura física del Instituto</t>
  </si>
  <si>
    <t xml:space="preserve">El/la Gerente de Recursos Físicos </t>
  </si>
  <si>
    <t>Verificar que la infraestructura de la entidad se encuentre asegurada contra situaciones inesperadas y ambientales que afecten las condiciones mínimas de habitabilidad</t>
  </si>
  <si>
    <t xml:space="preserve">Se revisa que la entidad cuente con las pólizas todo riesgo sin vencimiento de las fechas de cobertura </t>
  </si>
  <si>
    <t>Se generan alertas mediante correo electrónico sobre las fechas de vencimiento de las pólizas a la Gerencia Administrativa, con el fin de agilizar el trámite de la póliza</t>
  </si>
  <si>
    <t xml:space="preserve">Pólizas vigentes
Correo electrónico (Cuando aplique)
</t>
  </si>
  <si>
    <t>El Gerente de Recursos Físicos verificó que la infraestructura de la entidad se encuentra asegurada contra situaciones inesperadas y ambientales que afecten las condiciones minimas de habitabilidad.</t>
  </si>
  <si>
    <t>De acuerdo a la evidencia cargada, se observa que se  adjunta la póliza todo riesgo daños materiales viegente. 
Para este periodo no se materializa el riesgo. 
El proceso no cuenta con acciones de fortalecimiento. 
&amp;</t>
  </si>
  <si>
    <t>Se evidencia la ejecución del control con el aporte de la poliza todo riesgo daños materiales, vigente hasta el 02 de julio de 2026.
Se observa que el proceso no cuenta con acciones de fortalecimiento asociadas al control evaluado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</si>
</sst>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0%"/>
    <numFmt numFmtId="165" formatCode="d/m/yyyy"/>
  </numFmts>
  <fonts count="45" x14ac:knownFonts="1">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b/>
      <sz val="9"/>
      <color indexed="81"/>
      <name val="Tahoma"/>
      <family val="2"/>
    </font>
    <font>
      <sz val="11"/>
      <color rgb="FF000000"/>
      <name val="Times New Roman"/>
      <family val="1"/>
    </font>
    <font>
      <b/>
      <sz val="12"/>
      <color rgb="FF000000"/>
      <name val="Times New Roman"/>
      <family val="1"/>
    </font>
    <font>
      <u/>
      <sz val="11"/>
      <color theme="10"/>
      <name val="Calibri"/>
      <family val="2"/>
      <scheme val="minor"/>
    </font>
    <font>
      <sz val="11"/>
      <name val="Calibri"/>
      <family val="2"/>
    </font>
    <font>
      <sz val="11"/>
      <color rgb="FF242424"/>
      <name val="Aptos Narrow"/>
      <family val="2"/>
    </font>
    <font>
      <sz val="11"/>
      <color rgb="FF000000"/>
      <name val="Times New Roman"/>
      <family val="1"/>
      <charset val="1"/>
    </font>
    <font>
      <sz val="11"/>
      <name val="Times New Roman"/>
      <family val="1"/>
    </font>
    <font>
      <sz val="11"/>
      <color rgb="FFFF0000"/>
      <name val="Times New Roman"/>
      <family val="1"/>
    </font>
    <font>
      <sz val="12"/>
      <color rgb="FF000000"/>
      <name val="Times New Roman"/>
      <family val="1"/>
      <charset val="1"/>
    </font>
    <font>
      <sz val="12"/>
      <color theme="1"/>
      <name val="Calibri"/>
      <family val="2"/>
      <scheme val="minor"/>
    </font>
    <font>
      <sz val="12"/>
      <color rgb="FF000000"/>
      <name val="Arial"/>
      <family val="2"/>
    </font>
    <font>
      <sz val="12"/>
      <color rgb="FF000000"/>
      <name val="Times New Roman"/>
      <family val="1"/>
    </font>
    <font>
      <b/>
      <sz val="10"/>
      <color rgb="FF000000"/>
      <name val="Times New Roman"/>
      <family val="1"/>
    </font>
    <font>
      <sz val="10"/>
      <color rgb="FF000000"/>
      <name val="Times New Roman"/>
      <family val="1"/>
    </font>
    <font>
      <b/>
      <sz val="11"/>
      <name val="Times New Roman"/>
      <family val="1"/>
    </font>
    <font>
      <i/>
      <sz val="11"/>
      <name val="Times New Roman"/>
      <family val="1"/>
    </font>
    <font>
      <b/>
      <sz val="11"/>
      <color rgb="FF000000"/>
      <name val="Times New Roman"/>
    </font>
    <font>
      <sz val="11"/>
      <color rgb="FF000000"/>
      <name val="Times New Roman"/>
    </font>
    <font>
      <b/>
      <i/>
      <sz val="11"/>
      <color rgb="FF000000"/>
      <name val="Times New Roman"/>
    </font>
    <font>
      <b/>
      <sz val="14"/>
      <color theme="1"/>
      <name val="Times New Roman"/>
      <family val="1"/>
    </font>
    <font>
      <b/>
      <sz val="9"/>
      <color rgb="FF000000"/>
      <name val="Tahoma"/>
      <family val="2"/>
    </font>
    <font>
      <sz val="11"/>
      <color rgb="FF000000"/>
      <name val="Arial"/>
      <family val="2"/>
      <charset val="1"/>
    </font>
    <font>
      <sz val="12"/>
      <color theme="1"/>
      <name val="Times New Roman"/>
    </font>
    <font>
      <sz val="12"/>
      <color rgb="FF000000"/>
      <name val="Times New Roman"/>
    </font>
    <font>
      <sz val="12"/>
      <color rgb="FFFF0000"/>
      <name val="Times New Roman"/>
      <family val="1"/>
    </font>
    <font>
      <sz val="11"/>
      <color rgb="FF000000"/>
      <name val="Times New Roman"/>
      <charset val="1"/>
    </font>
    <font>
      <b/>
      <sz val="11"/>
      <color rgb="FF000000"/>
      <name val="Times New Roman"/>
      <charset val="1"/>
    </font>
    <font>
      <sz val="10"/>
      <color rgb="FF000000"/>
      <name val="Times New Roman"/>
    </font>
    <font>
      <b/>
      <sz val="12"/>
      <color rgb="FF000000"/>
      <name val="Times New Roman"/>
    </font>
    <font>
      <sz val="14"/>
      <color rgb="FF000000"/>
      <name val="Times New Roman"/>
      <family val="1"/>
    </font>
    <font>
      <b/>
      <sz val="10"/>
      <color rgb="FF000000"/>
      <name val="Times New Roman"/>
    </font>
    <font>
      <b/>
      <sz val="12"/>
      <name val="Times New Roman"/>
      <family val="1"/>
    </font>
    <font>
      <sz val="10"/>
      <name val="Times New Roman"/>
      <family val="1"/>
    </font>
  </fonts>
  <fills count="6">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style="thin">
        <color rgb="FF000000"/>
      </left>
      <right style="medium">
        <color rgb="FF000000"/>
      </right>
      <top style="thin">
        <color rgb="FF000000"/>
      </top>
      <bottom style="thin">
        <color indexed="64"/>
      </bottom>
      <diagonal/>
    </border>
    <border>
      <left style="thin">
        <color rgb="FF000000"/>
      </left>
      <right style="thin">
        <color rgb="FF000000"/>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rgb="FF000000"/>
      </left>
      <right/>
      <top/>
      <bottom/>
      <diagonal/>
    </border>
    <border>
      <left/>
      <right style="medium">
        <color rgb="FF000000"/>
      </right>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indexed="64"/>
      </right>
      <top/>
      <bottom style="thin">
        <color rgb="FF000000"/>
      </bottom>
      <diagonal/>
    </border>
    <border>
      <left style="medium">
        <color indexed="64"/>
      </left>
      <right style="thin">
        <color indexed="64"/>
      </right>
      <top style="thin">
        <color indexed="64"/>
      </top>
      <bottom style="thin">
        <color rgb="FF000000"/>
      </bottom>
      <diagonal/>
    </border>
    <border>
      <left style="medium">
        <color indexed="64"/>
      </left>
      <right style="medium">
        <color indexed="64"/>
      </right>
      <top style="thin">
        <color indexed="64"/>
      </top>
      <bottom/>
      <diagonal/>
    </border>
    <border>
      <left style="medium">
        <color indexed="64"/>
      </left>
      <right/>
      <top style="thin">
        <color indexed="64"/>
      </top>
      <bottom style="thin">
        <color rgb="FF000000"/>
      </bottom>
      <diagonal/>
    </border>
    <border>
      <left style="medium">
        <color indexed="64"/>
      </left>
      <right style="medium">
        <color indexed="64"/>
      </right>
      <top/>
      <bottom/>
      <diagonal/>
    </border>
    <border>
      <left style="medium">
        <color indexed="64"/>
      </left>
      <right/>
      <top/>
      <bottom style="thin">
        <color rgb="FF000000"/>
      </bottom>
      <diagonal/>
    </border>
    <border>
      <left style="medium">
        <color indexed="64"/>
      </left>
      <right style="thin">
        <color indexed="64"/>
      </right>
      <top/>
      <bottom style="thin">
        <color rgb="FF000000"/>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rgb="FF000000"/>
      </bottom>
      <diagonal/>
    </border>
  </borders>
  <cellStyleXfs count="4">
    <xf numFmtId="0" fontId="0" fillId="0" borderId="0"/>
    <xf numFmtId="41" fontId="6" fillId="0" borderId="0" applyFont="0" applyFill="0" applyBorder="0" applyAlignment="0" applyProtection="0"/>
    <xf numFmtId="0" fontId="14" fillId="0" borderId="0" applyNumberFormat="0" applyFill="0" applyBorder="0" applyAlignment="0" applyProtection="0"/>
    <xf numFmtId="0" fontId="6" fillId="0" borderId="0"/>
  </cellStyleXfs>
  <cellXfs count="543">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 xfId="0" applyFont="1" applyBorder="1" applyAlignment="1">
      <alignment horizontal="center" vertical="center" textRotation="90" wrapText="1"/>
    </xf>
    <xf numFmtId="0" fontId="3" fillId="2" borderId="27"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28" xfId="0" applyFont="1" applyFill="1" applyBorder="1" applyAlignment="1">
      <alignment horizontal="center" vertical="center" textRotation="90" wrapText="1"/>
    </xf>
    <xf numFmtId="0" fontId="2" fillId="2" borderId="27" xfId="0" applyFont="1" applyFill="1" applyBorder="1" applyAlignment="1">
      <alignment horizontal="center" vertical="center" textRotation="90"/>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2" fillId="2" borderId="27" xfId="0" applyFont="1" applyFill="1" applyBorder="1" applyAlignment="1">
      <alignment horizontal="center" vertical="center"/>
    </xf>
    <xf numFmtId="0" fontId="3" fillId="3" borderId="5" xfId="0" applyFont="1" applyFill="1" applyBorder="1" applyAlignment="1">
      <alignment horizontal="center" vertical="center" wrapText="1"/>
    </xf>
    <xf numFmtId="0" fontId="0" fillId="0" borderId="0" xfId="0" applyAlignment="1">
      <alignment wrapText="1"/>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20" xfId="0" applyFont="1" applyFill="1" applyBorder="1"/>
    <xf numFmtId="0" fontId="2" fillId="2" borderId="7" xfId="0" applyFont="1" applyFill="1" applyBorder="1"/>
    <xf numFmtId="0" fontId="1" fillId="2" borderId="5" xfId="0" applyFont="1" applyFill="1" applyBorder="1" applyAlignment="1">
      <alignment horizontal="center" vertical="center"/>
    </xf>
    <xf numFmtId="0" fontId="2" fillId="2" borderId="28" xfId="0" applyFont="1" applyFill="1" applyBorder="1" applyAlignment="1">
      <alignment horizontal="center" vertical="center" wrapText="1"/>
    </xf>
    <xf numFmtId="0" fontId="10" fillId="0" borderId="0" xfId="0" applyFont="1"/>
    <xf numFmtId="0" fontId="4" fillId="0" borderId="0" xfId="0" applyFont="1"/>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8"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2" fillId="2" borderId="1" xfId="0" applyFont="1" applyFill="1" applyBorder="1" applyAlignment="1">
      <alignment horizontal="center" vertical="center" wrapText="1"/>
    </xf>
    <xf numFmtId="0" fontId="0" fillId="0" borderId="0" xfId="0" applyAlignment="1">
      <alignment horizontal="right" vertical="center"/>
    </xf>
    <xf numFmtId="0" fontId="10" fillId="2" borderId="40" xfId="0" applyFont="1" applyFill="1" applyBorder="1" applyAlignment="1">
      <alignment horizontal="center" vertical="center" wrapText="1"/>
    </xf>
    <xf numFmtId="0" fontId="10" fillId="2" borderId="41"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2" fillId="2" borderId="36" xfId="0" applyFont="1" applyFill="1" applyBorder="1" applyAlignment="1">
      <alignment horizontal="center" vertical="center" textRotation="90"/>
    </xf>
    <xf numFmtId="14" fontId="10" fillId="0" borderId="0" xfId="0" applyNumberFormat="1" applyFont="1" applyAlignment="1" applyProtection="1">
      <alignment horizontal="center" vertical="center"/>
      <protection locked="0"/>
    </xf>
    <xf numFmtId="0" fontId="12" fillId="0" borderId="0" xfId="0" applyFont="1" applyAlignment="1">
      <alignment horizontal="left" vertical="center" wrapText="1"/>
    </xf>
    <xf numFmtId="0" fontId="12" fillId="0" borderId="0" xfId="0" applyFont="1" applyAlignment="1">
      <alignment vertical="center" wrapText="1"/>
    </xf>
    <xf numFmtId="0" fontId="12" fillId="0" borderId="0" xfId="0" applyFont="1" applyAlignment="1">
      <alignment vertical="center"/>
    </xf>
    <xf numFmtId="0" fontId="10" fillId="0" borderId="0" xfId="0" applyFont="1" applyAlignment="1" applyProtection="1">
      <alignment horizontal="center" vertical="center" wrapText="1"/>
      <protection locked="0"/>
    </xf>
    <xf numFmtId="0" fontId="13" fillId="0" borderId="0" xfId="0" applyFont="1" applyAlignment="1">
      <alignment horizontal="center" vertical="center" wrapText="1"/>
    </xf>
    <xf numFmtId="0" fontId="3" fillId="0" borderId="37" xfId="0" applyFont="1" applyBorder="1" applyAlignment="1">
      <alignment horizontal="center" vertical="center"/>
    </xf>
    <xf numFmtId="0" fontId="3" fillId="0" borderId="37" xfId="0" applyFont="1" applyBorder="1" applyAlignment="1">
      <alignment horizontal="center" vertical="center" wrapText="1"/>
    </xf>
    <xf numFmtId="9" fontId="3" fillId="0" borderId="37" xfId="0" applyNumberFormat="1" applyFont="1" applyBorder="1" applyAlignment="1">
      <alignment horizontal="center" vertical="center"/>
    </xf>
    <xf numFmtId="9" fontId="3" fillId="0" borderId="37" xfId="0" applyNumberFormat="1" applyFont="1" applyBorder="1" applyAlignment="1">
      <alignment horizontal="center" vertical="center" wrapText="1"/>
    </xf>
    <xf numFmtId="41" fontId="3" fillId="0" borderId="37" xfId="1" applyFont="1" applyFill="1" applyBorder="1" applyAlignment="1">
      <alignment horizontal="center" vertical="center" wrapText="1"/>
    </xf>
    <xf numFmtId="0" fontId="9" fillId="0" borderId="37" xfId="0" applyFont="1" applyBorder="1" applyAlignment="1">
      <alignment horizontal="center" vertical="center" textRotation="90"/>
    </xf>
    <xf numFmtId="0" fontId="2" fillId="0" borderId="37" xfId="0" applyFont="1" applyBorder="1" applyAlignment="1">
      <alignment horizontal="left"/>
    </xf>
    <xf numFmtId="0" fontId="2" fillId="0" borderId="37" xfId="0" applyFont="1" applyBorder="1" applyAlignment="1">
      <alignment horizontal="center" vertical="center"/>
    </xf>
    <xf numFmtId="0" fontId="2" fillId="0" borderId="37" xfId="0" applyFont="1" applyBorder="1" applyAlignment="1">
      <alignment horizontal="justify" vertical="center" wrapText="1"/>
    </xf>
    <xf numFmtId="0" fontId="2" fillId="0" borderId="37" xfId="0" applyFont="1" applyBorder="1" applyAlignment="1">
      <alignment horizontal="center" vertical="center" textRotation="90"/>
    </xf>
    <xf numFmtId="9" fontId="8" fillId="0" borderId="37" xfId="0" applyNumberFormat="1" applyFont="1" applyBorder="1" applyAlignment="1">
      <alignment horizontal="center" vertical="center"/>
    </xf>
    <xf numFmtId="0" fontId="2" fillId="0" borderId="37" xfId="0" applyFont="1" applyBorder="1" applyAlignment="1">
      <alignment horizontal="center" vertical="center" textRotation="90" wrapText="1"/>
    </xf>
    <xf numFmtId="0" fontId="8" fillId="0" borderId="37" xfId="0" applyFont="1" applyBorder="1" applyAlignment="1">
      <alignment horizontal="center" vertical="center" textRotation="90" wrapText="1"/>
    </xf>
    <xf numFmtId="9" fontId="2" fillId="0" borderId="37" xfId="0" applyNumberFormat="1" applyFont="1" applyBorder="1" applyAlignment="1">
      <alignment horizontal="center" vertical="center"/>
    </xf>
    <xf numFmtId="164" fontId="2" fillId="0" borderId="37" xfId="0" applyNumberFormat="1" applyFont="1" applyBorder="1" applyAlignment="1">
      <alignment horizontal="center" vertical="center"/>
    </xf>
    <xf numFmtId="0" fontId="3" fillId="0" borderId="37" xfId="0" applyFont="1" applyBorder="1" applyAlignment="1">
      <alignment horizontal="center" vertical="center" textRotation="90"/>
    </xf>
    <xf numFmtId="9" fontId="2" fillId="0" borderId="37" xfId="0" applyNumberFormat="1" applyFont="1" applyBorder="1" applyAlignment="1">
      <alignment horizontal="center" vertical="center" textRotation="90"/>
    </xf>
    <xf numFmtId="0" fontId="2" fillId="0" borderId="37" xfId="0" applyFont="1" applyBorder="1" applyAlignment="1">
      <alignment vertical="center" textRotation="90"/>
    </xf>
    <xf numFmtId="0" fontId="1" fillId="0" borderId="37" xfId="0" applyFont="1" applyBorder="1" applyAlignment="1">
      <alignment horizontal="center" vertical="center" textRotation="90"/>
    </xf>
    <xf numFmtId="0" fontId="2" fillId="0" borderId="37" xfId="0" applyFont="1" applyBorder="1" applyAlignment="1">
      <alignment horizontal="center" vertical="center" wrapText="1"/>
    </xf>
    <xf numFmtId="0" fontId="2" fillId="0" borderId="1" xfId="0" applyFont="1" applyBorder="1" applyAlignment="1">
      <alignment horizontal="justify" vertical="center" wrapText="1"/>
    </xf>
    <xf numFmtId="0" fontId="3" fillId="0" borderId="1" xfId="0" applyFont="1" applyBorder="1" applyAlignment="1">
      <alignment horizontal="center" vertical="center"/>
    </xf>
    <xf numFmtId="0" fontId="1" fillId="2" borderId="1" xfId="0" applyFont="1" applyFill="1" applyBorder="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9" fontId="3" fillId="0" borderId="0" xfId="0" applyNumberFormat="1" applyFont="1" applyAlignment="1">
      <alignment horizontal="center" vertical="center"/>
    </xf>
    <xf numFmtId="9" fontId="3" fillId="0" borderId="0" xfId="0" applyNumberFormat="1" applyFont="1" applyAlignment="1">
      <alignment horizontal="center" vertical="center" wrapText="1"/>
    </xf>
    <xf numFmtId="41" fontId="3" fillId="0" borderId="0" xfId="1" applyFont="1" applyFill="1" applyBorder="1" applyAlignment="1">
      <alignment horizontal="center" vertical="center" wrapText="1"/>
    </xf>
    <xf numFmtId="0" fontId="9" fillId="0" borderId="0" xfId="0" applyFont="1" applyAlignment="1">
      <alignment horizontal="center" vertical="center" textRotation="90"/>
    </xf>
    <xf numFmtId="0" fontId="2" fillId="0" borderId="0" xfId="0" applyFont="1" applyAlignment="1">
      <alignment horizontal="center" vertical="center"/>
    </xf>
    <xf numFmtId="0" fontId="2" fillId="0" borderId="0" xfId="0" applyFont="1" applyAlignment="1">
      <alignment horizontal="center" vertical="center" textRotation="90"/>
    </xf>
    <xf numFmtId="9" fontId="8" fillId="0" borderId="0" xfId="0" applyNumberFormat="1" applyFont="1" applyAlignment="1">
      <alignment horizontal="center" vertical="center"/>
    </xf>
    <xf numFmtId="0" fontId="2" fillId="0" borderId="0" xfId="0" applyFont="1" applyAlignment="1">
      <alignment horizontal="center" vertical="center" textRotation="90" wrapText="1"/>
    </xf>
    <xf numFmtId="0" fontId="8" fillId="0" borderId="0" xfId="0" applyFont="1" applyAlignment="1">
      <alignment horizontal="center" vertical="center" textRotation="90" wrapText="1"/>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1" fillId="0" borderId="0" xfId="0" applyFont="1" applyAlignment="1">
      <alignment horizontal="center" vertical="center" textRotation="90"/>
    </xf>
    <xf numFmtId="0" fontId="5" fillId="0" borderId="1" xfId="0" applyFont="1" applyBorder="1" applyAlignment="1">
      <alignment horizontal="center" vertical="center"/>
    </xf>
    <xf numFmtId="0" fontId="2" fillId="0" borderId="1" xfId="0" applyFont="1" applyBorder="1" applyAlignment="1">
      <alignment horizontal="justify" vertical="center"/>
    </xf>
    <xf numFmtId="0" fontId="2" fillId="2" borderId="5"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3" fillId="0" borderId="1" xfId="0" applyFont="1" applyBorder="1" applyAlignment="1">
      <alignment horizontal="center" vertical="top" wrapText="1"/>
    </xf>
    <xf numFmtId="0" fontId="9" fillId="4" borderId="1" xfId="0" applyFont="1" applyFill="1" applyBorder="1" applyAlignment="1">
      <alignment horizontal="center" vertical="center" textRotation="90"/>
    </xf>
    <xf numFmtId="0" fontId="2" fillId="0" borderId="1" xfId="0" applyFont="1" applyBorder="1" applyAlignment="1">
      <alignment horizontal="left"/>
    </xf>
    <xf numFmtId="0" fontId="2" fillId="0" borderId="1" xfId="0" applyFont="1" applyBorder="1" applyAlignment="1">
      <alignment horizontal="center" vertical="center"/>
    </xf>
    <xf numFmtId="0" fontId="1" fillId="0" borderId="1" xfId="0" applyFont="1" applyBorder="1" applyAlignment="1">
      <alignment horizontal="center" vertical="center" textRotation="90"/>
    </xf>
    <xf numFmtId="0" fontId="0" fillId="0" borderId="1" xfId="0" applyBorder="1"/>
    <xf numFmtId="14" fontId="10" fillId="0" borderId="1" xfId="0" applyNumberFormat="1" applyFont="1" applyBorder="1" applyAlignment="1" applyProtection="1">
      <alignment horizontal="center" vertical="center"/>
      <protection locked="0"/>
    </xf>
    <xf numFmtId="0" fontId="4" fillId="0" borderId="1" xfId="0" applyFont="1" applyBorder="1"/>
    <xf numFmtId="0" fontId="3" fillId="0" borderId="1" xfId="0" applyFont="1" applyBorder="1" applyAlignment="1">
      <alignment horizontal="center" vertical="center" wrapText="1"/>
    </xf>
    <xf numFmtId="0" fontId="3" fillId="4" borderId="1" xfId="0" applyFont="1" applyFill="1" applyBorder="1" applyAlignment="1">
      <alignment horizontal="center" vertical="center"/>
    </xf>
    <xf numFmtId="9" fontId="3" fillId="4" borderId="1" xfId="0" applyNumberFormat="1" applyFont="1" applyFill="1" applyBorder="1" applyAlignment="1">
      <alignment horizontal="center" vertical="center"/>
    </xf>
    <xf numFmtId="9" fontId="3" fillId="0" borderId="1" xfId="0" applyNumberFormat="1" applyFont="1" applyBorder="1" applyAlignment="1">
      <alignment horizontal="center" vertical="center" wrapText="1"/>
    </xf>
    <xf numFmtId="41" fontId="2" fillId="0" borderId="1" xfId="1" applyFont="1" applyBorder="1" applyAlignment="1">
      <alignment horizontal="center" vertical="center" wrapText="1"/>
    </xf>
    <xf numFmtId="165" fontId="2" fillId="0" borderId="1" xfId="0" applyNumberFormat="1" applyFont="1" applyBorder="1" applyAlignment="1">
      <alignment horizontal="center" vertical="center" wrapText="1"/>
    </xf>
    <xf numFmtId="0" fontId="0" fillId="0" borderId="1" xfId="0" applyBorder="1" applyAlignment="1">
      <alignment horizontal="left"/>
    </xf>
    <xf numFmtId="0" fontId="10" fillId="0" borderId="1" xfId="0" applyFont="1" applyBorder="1"/>
    <xf numFmtId="0" fontId="2" fillId="2" borderId="1" xfId="0" applyFont="1" applyFill="1" applyBorder="1"/>
    <xf numFmtId="0" fontId="3" fillId="2" borderId="1" xfId="0" applyFont="1" applyFill="1" applyBorder="1" applyAlignment="1">
      <alignment horizontal="center" vertical="center" textRotation="90"/>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10"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8" fillId="0" borderId="1" xfId="0" applyFont="1" applyBorder="1" applyAlignment="1">
      <alignment horizontal="justify" vertical="center" wrapText="1"/>
    </xf>
    <xf numFmtId="0" fontId="12" fillId="0" borderId="47" xfId="0" applyFont="1" applyBorder="1" applyAlignment="1">
      <alignment vertical="center" wrapText="1"/>
    </xf>
    <xf numFmtId="0" fontId="10" fillId="0" borderId="1" xfId="0" applyFont="1" applyBorder="1" applyAlignment="1" applyProtection="1">
      <alignment vertical="center" wrapText="1"/>
      <protection locked="0"/>
    </xf>
    <xf numFmtId="0" fontId="16" fillId="0" borderId="0" xfId="0" applyFont="1" applyAlignment="1">
      <alignment wrapText="1"/>
    </xf>
    <xf numFmtId="0" fontId="17" fillId="0" borderId="0" xfId="0" applyFont="1"/>
    <xf numFmtId="0" fontId="2" fillId="0" borderId="48" xfId="0" applyFont="1" applyBorder="1" applyAlignment="1">
      <alignment horizontal="center" vertical="center" wrapText="1"/>
    </xf>
    <xf numFmtId="0" fontId="20" fillId="0" borderId="48" xfId="0" applyFont="1" applyBorder="1" applyAlignment="1">
      <alignment vertical="center" wrapText="1"/>
    </xf>
    <xf numFmtId="0" fontId="10" fillId="0" borderId="48" xfId="0" applyFont="1" applyBorder="1" applyAlignment="1" applyProtection="1">
      <alignment horizontal="center" vertical="center" wrapText="1"/>
      <protection locked="0"/>
    </xf>
    <xf numFmtId="0" fontId="21" fillId="0" borderId="43" xfId="0" applyFont="1" applyBorder="1" applyAlignment="1">
      <alignment horizontal="left" vertical="center" wrapText="1"/>
    </xf>
    <xf numFmtId="0" fontId="21" fillId="0" borderId="43" xfId="0" applyFont="1" applyBorder="1" applyAlignment="1">
      <alignment horizontal="center" vertical="center" wrapText="1"/>
    </xf>
    <xf numFmtId="0" fontId="12" fillId="0" borderId="1" xfId="0" applyFont="1" applyBorder="1" applyAlignment="1">
      <alignment horizontal="center" vertical="center" wrapText="1" indent="1"/>
    </xf>
    <xf numFmtId="0" fontId="18" fillId="0" borderId="46" xfId="0" applyFont="1" applyBorder="1" applyAlignment="1">
      <alignment horizontal="center" vertical="center" wrapText="1"/>
    </xf>
    <xf numFmtId="0" fontId="12" fillId="0" borderId="47" xfId="0"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14" fontId="12" fillId="0" borderId="1" xfId="0" applyNumberFormat="1" applyFont="1" applyBorder="1" applyAlignment="1">
      <alignment horizontal="center" vertical="center" wrapText="1"/>
    </xf>
    <xf numFmtId="0" fontId="23" fillId="0" borderId="1" xfId="0" applyFont="1" applyBorder="1" applyAlignment="1">
      <alignment horizontal="justify" vertical="center" wrapText="1"/>
    </xf>
    <xf numFmtId="0" fontId="24" fillId="0" borderId="1" xfId="0" applyFont="1" applyBorder="1" applyAlignment="1">
      <alignment horizontal="justify" vertical="center"/>
    </xf>
    <xf numFmtId="0" fontId="26" fillId="0" borderId="48" xfId="0" applyFont="1" applyBorder="1" applyAlignment="1">
      <alignment horizontal="justify" vertical="center" wrapText="1"/>
    </xf>
    <xf numFmtId="0" fontId="18" fillId="0" borderId="48" xfId="0" applyFont="1" applyBorder="1" applyAlignment="1">
      <alignment horizontal="justify" vertical="center" wrapText="1"/>
    </xf>
    <xf numFmtId="0" fontId="3" fillId="0" borderId="1" xfId="0" applyFont="1" applyBorder="1" applyAlignment="1">
      <alignment horizontal="center" vertical="top"/>
    </xf>
    <xf numFmtId="0" fontId="3" fillId="4" borderId="1" xfId="0" applyFont="1" applyFill="1" applyBorder="1" applyAlignment="1">
      <alignment horizontal="center" vertical="top"/>
    </xf>
    <xf numFmtId="14" fontId="2" fillId="0" borderId="1" xfId="0" applyNumberFormat="1" applyFont="1" applyBorder="1" applyAlignment="1">
      <alignment horizontal="center" vertical="center" wrapText="1"/>
    </xf>
    <xf numFmtId="9" fontId="3" fillId="4" borderId="1" xfId="0" applyNumberFormat="1" applyFont="1" applyFill="1" applyBorder="1" applyAlignment="1">
      <alignment horizontal="center" vertical="top"/>
    </xf>
    <xf numFmtId="0" fontId="29" fillId="0" borderId="48" xfId="0" applyFont="1" applyBorder="1" applyAlignment="1">
      <alignment horizontal="justify" vertical="center" wrapText="1"/>
    </xf>
    <xf numFmtId="0" fontId="22" fillId="0" borderId="1" xfId="0" applyFont="1" applyBorder="1" applyAlignment="1">
      <alignment horizontal="justify" vertical="center"/>
    </xf>
    <xf numFmtId="0" fontId="7" fillId="0" borderId="0" xfId="0" applyFont="1" applyAlignment="1">
      <alignment horizontal="left" vertical="center"/>
    </xf>
    <xf numFmtId="0" fontId="9" fillId="4" borderId="1" xfId="0" applyFont="1" applyFill="1" applyBorder="1" applyAlignment="1">
      <alignment horizontal="center" vertical="center" textRotation="90"/>
    </xf>
    <xf numFmtId="0" fontId="1" fillId="0" borderId="1" xfId="0" applyFont="1" applyBorder="1" applyAlignment="1">
      <alignment horizontal="center" vertical="center" textRotation="90"/>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9" fontId="3" fillId="4" borderId="1" xfId="0" applyNumberFormat="1" applyFont="1" applyFill="1" applyBorder="1" applyAlignment="1">
      <alignment horizontal="center" vertical="top"/>
    </xf>
    <xf numFmtId="9" fontId="2" fillId="0" borderId="1" xfId="0" applyNumberFormat="1" applyFont="1" applyBorder="1" applyAlignment="1">
      <alignment horizontal="center" vertical="top" wrapText="1"/>
    </xf>
    <xf numFmtId="41" fontId="2" fillId="0" borderId="1" xfId="1" applyFont="1" applyBorder="1" applyAlignment="1">
      <alignment horizontal="center" vertical="top" wrapText="1"/>
    </xf>
    <xf numFmtId="0" fontId="3" fillId="4" borderId="1" xfId="0" applyFont="1" applyFill="1" applyBorder="1" applyAlignment="1">
      <alignment horizontal="center" vertical="top"/>
    </xf>
    <xf numFmtId="0" fontId="2" fillId="2" borderId="36" xfId="0" applyFont="1" applyFill="1" applyBorder="1" applyAlignment="1">
      <alignment horizontal="center" vertical="center" textRotation="90" wrapText="1"/>
    </xf>
    <xf numFmtId="0" fontId="2" fillId="2" borderId="38" xfId="0" applyFont="1" applyFill="1" applyBorder="1" applyAlignment="1">
      <alignment horizontal="center" vertical="center" textRotation="90"/>
    </xf>
    <xf numFmtId="0" fontId="3" fillId="0" borderId="1" xfId="0" applyFont="1" applyBorder="1" applyAlignment="1">
      <alignment horizontal="center" vertical="top"/>
    </xf>
    <xf numFmtId="0" fontId="2" fillId="0" borderId="1" xfId="0" applyFont="1" applyBorder="1" applyAlignment="1">
      <alignment horizontal="center" vertical="top"/>
    </xf>
    <xf numFmtId="0" fontId="3" fillId="0" borderId="1" xfId="0" applyFont="1" applyBorder="1" applyAlignment="1">
      <alignment horizontal="center" vertical="top" wrapText="1"/>
    </xf>
    <xf numFmtId="0" fontId="14" fillId="2" borderId="15" xfId="2" applyFill="1" applyBorder="1" applyAlignment="1">
      <alignment horizontal="center" vertical="center" wrapText="1"/>
    </xf>
    <xf numFmtId="0" fontId="14" fillId="2" borderId="10" xfId="2" applyFill="1" applyBorder="1" applyAlignment="1">
      <alignment horizontal="center" vertical="center" wrapText="1"/>
    </xf>
    <xf numFmtId="0" fontId="14" fillId="2" borderId="30" xfId="2" applyFill="1" applyBorder="1" applyAlignment="1">
      <alignment horizontal="center" vertical="center" wrapText="1"/>
    </xf>
    <xf numFmtId="0" fontId="14" fillId="2" borderId="16" xfId="2" applyFill="1" applyBorder="1" applyAlignment="1">
      <alignment horizontal="center" vertical="center" wrapText="1"/>
    </xf>
    <xf numFmtId="0" fontId="14" fillId="2" borderId="13" xfId="2" applyFill="1" applyBorder="1" applyAlignment="1">
      <alignment horizontal="center" vertical="center" wrapText="1"/>
    </xf>
    <xf numFmtId="0" fontId="14" fillId="2" borderId="1" xfId="2" applyFill="1" applyBorder="1" applyAlignment="1">
      <alignment horizontal="center" vertical="center" wrapText="1"/>
    </xf>
    <xf numFmtId="0" fontId="14" fillId="2" borderId="2" xfId="2" applyFill="1" applyBorder="1" applyAlignment="1">
      <alignment horizontal="center" vertical="center" wrapText="1"/>
    </xf>
    <xf numFmtId="0" fontId="14" fillId="2" borderId="14" xfId="2"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0" fontId="1" fillId="2" borderId="1" xfId="0" applyFont="1" applyFill="1" applyBorder="1" applyAlignment="1">
      <alignment horizontal="center" vertical="center"/>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Alignment="1">
      <alignment horizontal="center" vertical="center" wrapText="1"/>
    </xf>
    <xf numFmtId="0" fontId="7" fillId="0" borderId="2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2" xfId="0" applyFont="1" applyBorder="1" applyAlignment="1">
      <alignment horizontal="center" vertical="center" wrapText="1"/>
    </xf>
    <xf numFmtId="0" fontId="1" fillId="0" borderId="43" xfId="0" applyFont="1" applyBorder="1" applyAlignment="1">
      <alignment horizontal="center" vertical="center"/>
    </xf>
    <xf numFmtId="0" fontId="15" fillId="0" borderId="44" xfId="0" applyFont="1" applyBorder="1"/>
    <xf numFmtId="0" fontId="15" fillId="0" borderId="45" xfId="0" applyFont="1" applyBorder="1"/>
    <xf numFmtId="0" fontId="1" fillId="0" borderId="17" xfId="0" applyFont="1" applyBorder="1" applyAlignment="1">
      <alignment horizontal="center" vertical="center"/>
    </xf>
    <xf numFmtId="0" fontId="1" fillId="0" borderId="19" xfId="0" applyFont="1" applyBorder="1" applyAlignment="1">
      <alignment horizontal="center" vertical="center"/>
    </xf>
    <xf numFmtId="0" fontId="1" fillId="0" borderId="25" xfId="0" applyFont="1" applyBorder="1" applyAlignment="1">
      <alignment horizontal="center" vertical="center"/>
    </xf>
    <xf numFmtId="0" fontId="1" fillId="0" borderId="22" xfId="0" applyFont="1" applyBorder="1" applyAlignment="1">
      <alignment horizontal="center" vertical="center"/>
    </xf>
    <xf numFmtId="49" fontId="4" fillId="0" borderId="17" xfId="0" applyNumberFormat="1" applyFont="1" applyBorder="1" applyAlignment="1">
      <alignment horizontal="center" vertical="center" wrapText="1"/>
    </xf>
    <xf numFmtId="49" fontId="4" fillId="0" borderId="19" xfId="0" applyNumberFormat="1" applyFont="1" applyBorder="1" applyAlignment="1">
      <alignment horizontal="center" vertical="center" wrapText="1"/>
    </xf>
    <xf numFmtId="49" fontId="4" fillId="0" borderId="25"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14" fontId="1" fillId="0" borderId="17" xfId="0" applyNumberFormat="1" applyFont="1" applyBorder="1" applyAlignment="1">
      <alignment horizontal="center" vertical="center"/>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1" fillId="2" borderId="1" xfId="0" applyFont="1" applyFill="1" applyBorder="1" applyAlignment="1">
      <alignment horizontal="center"/>
    </xf>
    <xf numFmtId="0" fontId="2" fillId="2" borderId="1" xfId="0" applyFont="1" applyFill="1" applyBorder="1" applyAlignment="1">
      <alignment horizont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0" fillId="0" borderId="0" xfId="0" applyAlignment="1">
      <alignment inden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10" fillId="2" borderId="1" xfId="0" applyFont="1" applyFill="1" applyBorder="1" applyAlignment="1">
      <alignment vertical="center" wrapText="1" indent="1"/>
    </xf>
    <xf numFmtId="0" fontId="3" fillId="0" borderId="1" xfId="0" applyFont="1" applyBorder="1" applyAlignment="1">
      <alignment horizontal="justify" vertical="top"/>
    </xf>
    <xf numFmtId="9" fontId="3" fillId="0" borderId="1" xfId="0" applyNumberFormat="1" applyFont="1" applyBorder="1" applyAlignment="1">
      <alignment horizontal="center" vertical="top" wrapText="1"/>
    </xf>
    <xf numFmtId="9" fontId="3" fillId="0" borderId="1" xfId="1" applyNumberFormat="1" applyFont="1" applyBorder="1" applyAlignment="1">
      <alignment horizontal="center" vertical="top" wrapText="1"/>
    </xf>
    <xf numFmtId="0" fontId="9" fillId="4" borderId="1" xfId="0" applyFont="1" applyFill="1" applyBorder="1" applyAlignment="1">
      <alignment horizontal="center" vertical="top" textRotation="90"/>
    </xf>
    <xf numFmtId="0" fontId="8" fillId="0" borderId="1" xfId="0" applyFont="1" applyBorder="1" applyAlignment="1">
      <alignment horizontal="center" vertical="center"/>
    </xf>
    <xf numFmtId="0" fontId="8" fillId="0" borderId="1" xfId="0" applyFont="1" applyBorder="1" applyAlignment="1">
      <alignment horizontal="center" vertical="center" textRotation="90" wrapText="1"/>
    </xf>
    <xf numFmtId="0" fontId="2" fillId="0" borderId="1" xfId="0" applyFont="1" applyBorder="1" applyAlignment="1">
      <alignment horizontal="justify" vertical="top" wrapText="1"/>
    </xf>
    <xf numFmtId="0" fontId="8" fillId="0" borderId="1" xfId="0" applyFont="1" applyBorder="1" applyAlignment="1">
      <alignment horizontal="justify" vertical="top" wrapText="1"/>
    </xf>
    <xf numFmtId="14" fontId="2" fillId="0" borderId="1" xfId="0" applyNumberFormat="1" applyFont="1" applyBorder="1" applyAlignment="1">
      <alignment horizontal="justify" vertical="top" wrapText="1"/>
    </xf>
    <xf numFmtId="0" fontId="12" fillId="0" borderId="1" xfId="0" applyFont="1" applyBorder="1" applyAlignment="1">
      <alignment horizontal="center" vertical="center" wrapText="1"/>
    </xf>
    <xf numFmtId="0" fontId="29" fillId="0" borderId="5" xfId="0" applyFont="1" applyBorder="1" applyAlignment="1">
      <alignment horizontal="center" vertical="center" wrapText="1"/>
    </xf>
    <xf numFmtId="0" fontId="12" fillId="0" borderId="1" xfId="0"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0" fontId="29" fillId="0" borderId="1" xfId="0" applyFont="1" applyBorder="1" applyAlignment="1">
      <alignment horizontal="center" vertical="center" wrapText="1"/>
    </xf>
    <xf numFmtId="0" fontId="29" fillId="0" borderId="29" xfId="0" applyFont="1" applyBorder="1" applyAlignment="1">
      <alignment horizontal="center" vertical="center" wrapText="1"/>
    </xf>
    <xf numFmtId="0" fontId="12" fillId="0" borderId="1" xfId="0" applyFont="1" applyBorder="1" applyAlignment="1">
      <alignment horizontal="center" vertical="center"/>
    </xf>
    <xf numFmtId="9" fontId="8" fillId="0" borderId="1" xfId="0" applyNumberFormat="1" applyFont="1" applyBorder="1" applyAlignment="1">
      <alignment horizontal="justify" vertical="center" wrapText="1"/>
    </xf>
    <xf numFmtId="10" fontId="8" fillId="0" borderId="1" xfId="0" applyNumberFormat="1" applyFont="1" applyBorder="1" applyAlignment="1">
      <alignment horizontal="justify" vertical="center" wrapText="1"/>
    </xf>
    <xf numFmtId="0" fontId="29" fillId="0" borderId="1" xfId="0" applyFont="1" applyBorder="1" applyAlignment="1">
      <alignment horizontal="center" vertical="center" wrapText="1"/>
    </xf>
    <xf numFmtId="0" fontId="29" fillId="0" borderId="1" xfId="0" applyFont="1" applyBorder="1" applyAlignment="1">
      <alignment horizontal="left" vertical="center" wrapText="1"/>
    </xf>
    <xf numFmtId="0" fontId="8" fillId="4" borderId="1" xfId="0" applyFont="1" applyFill="1" applyBorder="1" applyAlignment="1">
      <alignment horizontal="center" vertical="center"/>
    </xf>
    <xf numFmtId="0" fontId="8" fillId="0" borderId="1" xfId="0" applyFont="1" applyBorder="1" applyAlignment="1">
      <alignment horizontal="center" vertical="center" textRotation="90"/>
    </xf>
    <xf numFmtId="0" fontId="31" fillId="4" borderId="1" xfId="0" applyFont="1" applyFill="1" applyBorder="1" applyAlignment="1">
      <alignment horizontal="center" vertical="center" textRotation="90"/>
    </xf>
    <xf numFmtId="0" fontId="1" fillId="4" borderId="1" xfId="0" applyFont="1" applyFill="1" applyBorder="1" applyAlignment="1">
      <alignment vertical="center" textRotation="90"/>
    </xf>
    <xf numFmtId="0" fontId="29" fillId="0" borderId="6" xfId="0" applyFont="1" applyBorder="1" applyAlignment="1">
      <alignment horizontal="center" vertical="center" wrapText="1"/>
    </xf>
    <xf numFmtId="0" fontId="12" fillId="0" borderId="0" xfId="0" applyFont="1" applyAlignment="1">
      <alignment vertical="center" wrapText="1" indent="1"/>
    </xf>
    <xf numFmtId="0" fontId="18" fillId="0" borderId="1" xfId="0" applyFont="1" applyBorder="1" applyAlignment="1">
      <alignment horizontal="justify" vertical="center" wrapText="1"/>
    </xf>
    <xf numFmtId="0" fontId="18" fillId="0" borderId="1" xfId="0" applyFont="1" applyBorder="1" applyAlignment="1">
      <alignment horizontal="justify" vertical="center"/>
    </xf>
    <xf numFmtId="0" fontId="1" fillId="0" borderId="5" xfId="0" applyFont="1" applyBorder="1" applyAlignment="1">
      <alignment horizontal="center" vertical="center" textRotation="90"/>
    </xf>
    <xf numFmtId="0" fontId="12" fillId="0" borderId="5" xfId="0" applyFont="1" applyBorder="1" applyAlignment="1">
      <alignment horizontal="center" vertical="center" wrapText="1"/>
    </xf>
    <xf numFmtId="0" fontId="12" fillId="0" borderId="5" xfId="0" applyFont="1" applyBorder="1" applyAlignment="1">
      <alignment horizontal="center" vertical="center"/>
    </xf>
    <xf numFmtId="0" fontId="1" fillId="0" borderId="6" xfId="0" applyFont="1" applyBorder="1" applyAlignment="1">
      <alignment horizontal="center" vertical="center" textRotation="90"/>
    </xf>
    <xf numFmtId="0" fontId="12" fillId="0" borderId="6" xfId="0" applyFont="1" applyBorder="1" applyAlignment="1">
      <alignment horizontal="center" vertical="center" wrapText="1"/>
    </xf>
    <xf numFmtId="0" fontId="12" fillId="0" borderId="6" xfId="0" applyFont="1" applyBorder="1" applyAlignment="1">
      <alignment horizontal="center" vertical="center"/>
    </xf>
    <xf numFmtId="0" fontId="8" fillId="0" borderId="1" xfId="0" applyFont="1" applyBorder="1" applyAlignment="1">
      <alignment horizontal="center" vertical="top" wrapText="1"/>
    </xf>
    <xf numFmtId="14" fontId="8" fillId="0" borderId="1" xfId="0" applyNumberFormat="1" applyFont="1" applyBorder="1" applyAlignment="1">
      <alignment horizontal="center" vertical="top" wrapText="1"/>
    </xf>
    <xf numFmtId="0" fontId="33" fillId="0" borderId="1" xfId="0" applyFont="1" applyBorder="1" applyAlignment="1">
      <alignment vertical="center" wrapText="1"/>
    </xf>
    <xf numFmtId="0" fontId="12" fillId="0" borderId="29" xfId="0" applyFont="1" applyBorder="1" applyAlignment="1">
      <alignment horizontal="center" vertical="center"/>
    </xf>
    <xf numFmtId="0" fontId="8" fillId="0" borderId="2" xfId="0" applyFont="1" applyBorder="1" applyAlignment="1">
      <alignment horizontal="justify" vertical="center" wrapText="1"/>
    </xf>
    <xf numFmtId="0" fontId="8" fillId="0" borderId="3" xfId="0" applyFont="1" applyBorder="1" applyAlignment="1">
      <alignment horizontal="justify" vertical="center" wrapText="1"/>
    </xf>
    <xf numFmtId="0" fontId="8" fillId="0" borderId="4" xfId="0" applyFont="1" applyBorder="1" applyAlignment="1">
      <alignment horizontal="justify" vertical="center" wrapText="1"/>
    </xf>
    <xf numFmtId="0" fontId="3" fillId="0" borderId="13" xfId="0" applyFont="1" applyBorder="1" applyAlignment="1">
      <alignment horizontal="center" vertical="top"/>
    </xf>
    <xf numFmtId="0" fontId="3" fillId="0" borderId="1" xfId="0" applyFont="1" applyBorder="1" applyAlignment="1">
      <alignment vertical="top" wrapText="1"/>
    </xf>
    <xf numFmtId="0" fontId="5" fillId="0" borderId="1" xfId="0" applyFont="1" applyBorder="1" applyAlignment="1">
      <alignment horizontal="center" vertical="top"/>
    </xf>
    <xf numFmtId="9" fontId="3" fillId="0" borderId="5" xfId="0" applyNumberFormat="1" applyFont="1" applyBorder="1" applyAlignment="1">
      <alignment horizontal="center" vertical="top" wrapText="1"/>
    </xf>
    <xf numFmtId="9" fontId="3" fillId="0" borderId="5" xfId="1" applyNumberFormat="1" applyFont="1" applyBorder="1" applyAlignment="1">
      <alignment horizontal="center" vertical="top" wrapText="1"/>
    </xf>
    <xf numFmtId="9" fontId="3" fillId="4" borderId="5" xfId="0" applyNumberFormat="1" applyFont="1" applyFill="1" applyBorder="1" applyAlignment="1">
      <alignment horizontal="center" vertical="top"/>
    </xf>
    <xf numFmtId="0" fontId="9" fillId="4" borderId="28" xfId="0" applyFont="1" applyFill="1" applyBorder="1" applyAlignment="1">
      <alignment horizontal="center" vertical="top" textRotation="90"/>
    </xf>
    <xf numFmtId="0" fontId="2" fillId="0" borderId="18" xfId="0" applyFont="1" applyBorder="1" applyAlignment="1">
      <alignment horizontal="center" vertical="center"/>
    </xf>
    <xf numFmtId="14" fontId="2" fillId="0" borderId="1" xfId="0" applyNumberFormat="1" applyFont="1" applyBorder="1" applyAlignment="1">
      <alignment horizontal="center" vertical="top" wrapText="1"/>
    </xf>
    <xf numFmtId="0" fontId="34"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center" vertical="center"/>
    </xf>
    <xf numFmtId="14" fontId="29" fillId="5" borderId="1" xfId="0" applyNumberFormat="1" applyFont="1" applyFill="1" applyBorder="1" applyAlignment="1">
      <alignment horizontal="center" vertical="center" wrapText="1"/>
    </xf>
    <xf numFmtId="14" fontId="29" fillId="0" borderId="1" xfId="0" applyNumberFormat="1" applyFont="1" applyBorder="1" applyAlignment="1">
      <alignment horizontal="center" vertical="center" wrapText="1"/>
    </xf>
    <xf numFmtId="0" fontId="3" fillId="0" borderId="27" xfId="0" applyFont="1" applyBorder="1" applyAlignment="1">
      <alignment horizontal="center" vertical="top"/>
    </xf>
    <xf numFmtId="0" fontId="3" fillId="0" borderId="5" xfId="0" applyFont="1" applyBorder="1" applyAlignment="1">
      <alignment horizontal="justify" vertical="top"/>
    </xf>
    <xf numFmtId="0" fontId="3" fillId="0" borderId="5" xfId="0" applyFont="1" applyBorder="1" applyAlignment="1">
      <alignment vertical="top" wrapText="1"/>
    </xf>
    <xf numFmtId="0" fontId="5" fillId="0" borderId="5" xfId="0" applyFont="1" applyBorder="1" applyAlignment="1">
      <alignment horizontal="center" vertical="top"/>
    </xf>
    <xf numFmtId="0" fontId="3" fillId="4" borderId="5" xfId="0" applyFont="1" applyFill="1" applyBorder="1" applyAlignment="1">
      <alignment horizontal="center" vertical="top"/>
    </xf>
    <xf numFmtId="9" fontId="3" fillId="0" borderId="29" xfId="0" applyNumberFormat="1" applyFont="1" applyBorder="1" applyAlignment="1">
      <alignment horizontal="center" vertical="top" wrapText="1"/>
    </xf>
    <xf numFmtId="9" fontId="3" fillId="0" borderId="29" xfId="1" applyNumberFormat="1" applyFont="1" applyBorder="1" applyAlignment="1">
      <alignment horizontal="center" vertical="top" wrapText="1"/>
    </xf>
    <xf numFmtId="9" fontId="3" fillId="4" borderId="29" xfId="0" applyNumberFormat="1" applyFont="1" applyFill="1" applyBorder="1" applyAlignment="1">
      <alignment horizontal="center" vertical="top"/>
    </xf>
    <xf numFmtId="0" fontId="9" fillId="4" borderId="50" xfId="0" applyFont="1" applyFill="1" applyBorder="1" applyAlignment="1">
      <alignment horizontal="center" vertical="top" textRotation="90"/>
    </xf>
    <xf numFmtId="164" fontId="2" fillId="4" borderId="51" xfId="0" applyNumberFormat="1" applyFont="1" applyFill="1" applyBorder="1" applyAlignment="1">
      <alignment horizontal="center" vertical="center"/>
    </xf>
    <xf numFmtId="9" fontId="2" fillId="4" borderId="51" xfId="0" applyNumberFormat="1" applyFont="1" applyFill="1" applyBorder="1" applyAlignment="1">
      <alignment horizontal="center" vertical="center"/>
    </xf>
    <xf numFmtId="0" fontId="36" fillId="0" borderId="1" xfId="0" applyFont="1" applyBorder="1" applyAlignment="1">
      <alignment horizontal="center" vertical="top" wrapText="1"/>
    </xf>
    <xf numFmtId="0" fontId="12" fillId="0" borderId="5" xfId="0" applyFont="1" applyBorder="1" applyAlignment="1">
      <alignment horizontal="left" vertical="center" wrapText="1"/>
    </xf>
    <xf numFmtId="0" fontId="12" fillId="0" borderId="1" xfId="0" applyFont="1" applyBorder="1" applyAlignment="1">
      <alignment horizontal="center" vertical="center"/>
    </xf>
    <xf numFmtId="0" fontId="29" fillId="5" borderId="2" xfId="0" applyFont="1" applyFill="1" applyBorder="1" applyAlignment="1">
      <alignment horizontal="center" vertical="center" wrapText="1"/>
    </xf>
    <xf numFmtId="0" fontId="37" fillId="0" borderId="0" xfId="0" applyFont="1"/>
    <xf numFmtId="0" fontId="38" fillId="0" borderId="0" xfId="0" applyFont="1"/>
    <xf numFmtId="0" fontId="3" fillId="0" borderId="1" xfId="0" applyFont="1" applyBorder="1" applyAlignment="1">
      <alignment horizontal="justify" vertical="center"/>
    </xf>
    <xf numFmtId="9" fontId="3" fillId="0" borderId="1" xfId="1" applyNumberFormat="1" applyFont="1" applyBorder="1" applyAlignment="1">
      <alignment horizontal="center" vertical="center" wrapText="1"/>
    </xf>
    <xf numFmtId="0" fontId="8" fillId="0" borderId="1" xfId="0" applyFont="1" applyBorder="1" applyAlignment="1">
      <alignment horizontal="center" vertical="center" wrapText="1"/>
    </xf>
    <xf numFmtId="0" fontId="12" fillId="0" borderId="2" xfId="0" applyFont="1" applyBorder="1" applyAlignment="1">
      <alignment horizontal="center" vertical="center"/>
    </xf>
    <xf numFmtId="0" fontId="4" fillId="0" borderId="4" xfId="0" applyFont="1" applyBorder="1" applyAlignment="1">
      <alignment horizontal="center" vertical="center"/>
    </xf>
    <xf numFmtId="0" fontId="39" fillId="5" borderId="1" xfId="0" applyFont="1" applyFill="1" applyBorder="1" applyAlignment="1" applyProtection="1">
      <alignment horizontal="center" vertical="center" wrapText="1"/>
      <protection locked="0"/>
    </xf>
    <xf numFmtId="0" fontId="39" fillId="0" borderId="1" xfId="0" applyFont="1" applyBorder="1" applyAlignment="1" applyProtection="1">
      <alignment horizontal="center" vertical="center" wrapText="1"/>
      <protection locked="0"/>
    </xf>
    <xf numFmtId="0" fontId="2" fillId="2" borderId="2"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xf>
    <xf numFmtId="0" fontId="10" fillId="2" borderId="14" xfId="0" applyFont="1" applyFill="1" applyBorder="1" applyAlignment="1">
      <alignment horizontal="center" vertical="center" wrapText="1"/>
    </xf>
    <xf numFmtId="0" fontId="3" fillId="0" borderId="5" xfId="0" applyFont="1" applyBorder="1" applyAlignment="1">
      <alignment horizontal="center" vertical="top" wrapText="1"/>
    </xf>
    <xf numFmtId="0" fontId="2" fillId="0" borderId="18" xfId="0" applyFont="1" applyBorder="1" applyAlignment="1">
      <alignment horizontal="left"/>
    </xf>
    <xf numFmtId="0" fontId="2" fillId="0" borderId="13" xfId="0" applyFont="1" applyBorder="1" applyAlignment="1">
      <alignment horizontal="center" vertical="center"/>
    </xf>
    <xf numFmtId="0" fontId="8" fillId="0" borderId="6" xfId="0" applyFont="1" applyBorder="1" applyAlignment="1">
      <alignment horizontal="justify" vertical="center" wrapText="1"/>
    </xf>
    <xf numFmtId="0" fontId="8" fillId="3" borderId="6" xfId="0" applyFont="1" applyFill="1" applyBorder="1" applyAlignment="1">
      <alignment horizontal="justify" vertical="center" wrapText="1"/>
    </xf>
    <xf numFmtId="0" fontId="1" fillId="0" borderId="14" xfId="0" applyFont="1" applyBorder="1" applyAlignment="1">
      <alignment horizontal="center" vertical="center" textRotation="90"/>
    </xf>
    <xf numFmtId="0" fontId="2" fillId="0" borderId="13" xfId="0" applyFont="1" applyBorder="1" applyAlignment="1">
      <alignment horizontal="justify" vertical="top" wrapText="1"/>
    </xf>
    <xf numFmtId="14" fontId="10" fillId="0" borderId="52" xfId="0" applyNumberFormat="1" applyFont="1" applyBorder="1" applyAlignment="1" applyProtection="1">
      <alignment horizontal="center" vertical="center" wrapText="1"/>
      <protection locked="0"/>
    </xf>
    <xf numFmtId="0" fontId="12" fillId="0" borderId="1" xfId="0" applyFont="1" applyBorder="1" applyAlignment="1">
      <alignment horizontal="left" vertical="center" wrapText="1"/>
    </xf>
    <xf numFmtId="0" fontId="10" fillId="0" borderId="53" xfId="0" applyFont="1" applyBorder="1" applyAlignment="1" applyProtection="1">
      <alignment vertical="center" wrapText="1"/>
      <protection locked="0"/>
    </xf>
    <xf numFmtId="0" fontId="28" fillId="0" borderId="48" xfId="0" applyFont="1" applyBorder="1" applyAlignment="1">
      <alignment vertical="center" wrapText="1"/>
    </xf>
    <xf numFmtId="0" fontId="23" fillId="0" borderId="4" xfId="0" applyFont="1" applyBorder="1" applyAlignment="1">
      <alignment horizontal="center" vertical="center" wrapText="1"/>
    </xf>
    <xf numFmtId="0" fontId="3" fillId="0" borderId="29" xfId="0" applyFont="1" applyBorder="1" applyAlignment="1">
      <alignment horizontal="center" vertical="top" wrapText="1"/>
    </xf>
    <xf numFmtId="0" fontId="5" fillId="0" borderId="29" xfId="0" applyFont="1" applyBorder="1" applyAlignment="1">
      <alignment horizontal="center" vertical="top"/>
    </xf>
    <xf numFmtId="0" fontId="2" fillId="0" borderId="27" xfId="0" applyFont="1" applyBorder="1" applyAlignment="1">
      <alignment horizontal="center" vertical="center"/>
    </xf>
    <xf numFmtId="0" fontId="8" fillId="3" borderId="1" xfId="0" applyFont="1" applyFill="1" applyBorder="1" applyAlignment="1">
      <alignment horizontal="justify" vertical="center" wrapText="1"/>
    </xf>
    <xf numFmtId="0" fontId="8" fillId="0" borderId="1" xfId="0" applyFont="1" applyBorder="1" applyAlignment="1">
      <alignment horizontal="justify" vertical="center"/>
    </xf>
    <xf numFmtId="0" fontId="2" fillId="4" borderId="5" xfId="0" applyFont="1" applyFill="1" applyBorder="1" applyAlignment="1">
      <alignment horizontal="center" vertical="center"/>
    </xf>
    <xf numFmtId="0" fontId="1" fillId="0" borderId="28" xfId="0" applyFont="1" applyBorder="1" applyAlignment="1">
      <alignment horizontal="center" vertical="center" textRotation="90"/>
    </xf>
    <xf numFmtId="0" fontId="2" fillId="0" borderId="27" xfId="0" applyFont="1" applyBorder="1" applyAlignment="1">
      <alignment horizontal="justify" vertical="top" wrapText="1"/>
    </xf>
    <xf numFmtId="0" fontId="8" fillId="0" borderId="5" xfId="0" applyFont="1" applyBorder="1" applyAlignment="1">
      <alignment horizontal="justify" vertical="top" wrapText="1"/>
    </xf>
    <xf numFmtId="14" fontId="2" fillId="0" borderId="5" xfId="0" applyNumberFormat="1" applyFont="1" applyBorder="1" applyAlignment="1">
      <alignment horizontal="justify" vertical="top" wrapText="1"/>
    </xf>
    <xf numFmtId="0" fontId="10" fillId="0" borderId="54" xfId="0" applyFont="1" applyBorder="1" applyAlignment="1" applyProtection="1">
      <alignment vertical="center" wrapText="1"/>
      <protection locked="0"/>
    </xf>
    <xf numFmtId="0" fontId="23" fillId="0" borderId="39" xfId="0" applyFont="1" applyBorder="1" applyAlignment="1">
      <alignment horizontal="center" vertical="center" wrapText="1"/>
    </xf>
    <xf numFmtId="0" fontId="8" fillId="3" borderId="1" xfId="0" applyFont="1" applyFill="1" applyBorder="1" applyAlignment="1">
      <alignment horizontal="center" vertical="center" wrapText="1"/>
    </xf>
    <xf numFmtId="0" fontId="12" fillId="0" borderId="6" xfId="0" applyFont="1" applyBorder="1" applyAlignment="1">
      <alignment horizontal="left" vertical="center" wrapText="1"/>
    </xf>
    <xf numFmtId="0" fontId="8" fillId="0" borderId="5" xfId="0" applyFont="1" applyBorder="1" applyAlignment="1">
      <alignment horizontal="center" vertical="center" textRotation="90" wrapText="1"/>
    </xf>
    <xf numFmtId="0" fontId="33" fillId="0" borderId="55" xfId="0" applyFont="1" applyBorder="1" applyAlignment="1">
      <alignment vertical="center" wrapText="1"/>
    </xf>
    <xf numFmtId="0" fontId="3" fillId="0" borderId="6" xfId="0" applyFont="1" applyBorder="1" applyAlignment="1">
      <alignment horizontal="center" vertical="top" wrapText="1"/>
    </xf>
    <xf numFmtId="0" fontId="5" fillId="0" borderId="6" xfId="0" applyFont="1" applyBorder="1" applyAlignment="1">
      <alignment horizontal="center" vertical="top"/>
    </xf>
    <xf numFmtId="9" fontId="3" fillId="0" borderId="6" xfId="0" applyNumberFormat="1" applyFont="1" applyBorder="1" applyAlignment="1">
      <alignment horizontal="center" vertical="top" wrapText="1"/>
    </xf>
    <xf numFmtId="9" fontId="3" fillId="0" borderId="6" xfId="1" applyNumberFormat="1" applyFont="1" applyBorder="1" applyAlignment="1">
      <alignment horizontal="center" vertical="top" wrapText="1"/>
    </xf>
    <xf numFmtId="9" fontId="3" fillId="4" borderId="6" xfId="0" applyNumberFormat="1" applyFont="1" applyFill="1" applyBorder="1" applyAlignment="1">
      <alignment horizontal="center" vertical="top"/>
    </xf>
    <xf numFmtId="0" fontId="9" fillId="4" borderId="12" xfId="0" applyFont="1" applyFill="1" applyBorder="1" applyAlignment="1">
      <alignment horizontal="center" vertical="top" textRotation="90"/>
    </xf>
    <xf numFmtId="0" fontId="2" fillId="0" borderId="7" xfId="0" applyFont="1" applyBorder="1" applyAlignment="1">
      <alignment horizontal="left"/>
    </xf>
    <xf numFmtId="9" fontId="2" fillId="4" borderId="6" xfId="0" applyNumberFormat="1" applyFont="1" applyFill="1" applyBorder="1" applyAlignment="1">
      <alignment horizontal="center" vertical="center"/>
    </xf>
    <xf numFmtId="0" fontId="0" fillId="0" borderId="7" xfId="0" applyBorder="1"/>
    <xf numFmtId="0" fontId="12" fillId="0" borderId="56" xfId="0" applyFont="1" applyBorder="1" applyAlignment="1">
      <alignment vertical="center"/>
    </xf>
    <xf numFmtId="0" fontId="10" fillId="0" borderId="57" xfId="0" applyFont="1" applyBorder="1" applyAlignment="1" applyProtection="1">
      <alignment vertical="center" wrapText="1"/>
      <protection locked="0"/>
    </xf>
    <xf numFmtId="0" fontId="4" fillId="0" borderId="7" xfId="0" applyFont="1" applyBorder="1"/>
    <xf numFmtId="0" fontId="3" fillId="5" borderId="0" xfId="0" applyFont="1" applyFill="1" applyAlignment="1">
      <alignment horizontal="center" vertical="center"/>
    </xf>
    <xf numFmtId="9" fontId="3" fillId="5" borderId="0" xfId="0" applyNumberFormat="1" applyFont="1" applyFill="1" applyAlignment="1">
      <alignment horizontal="center" vertical="center"/>
    </xf>
    <xf numFmtId="9" fontId="3" fillId="5" borderId="0" xfId="0" applyNumberFormat="1" applyFont="1" applyFill="1" applyAlignment="1">
      <alignment horizontal="center" vertical="center" wrapText="1"/>
    </xf>
    <xf numFmtId="41" fontId="3" fillId="5" borderId="0" xfId="1" applyFont="1" applyFill="1" applyBorder="1" applyAlignment="1">
      <alignment horizontal="center" vertical="center" wrapText="1"/>
    </xf>
    <xf numFmtId="0" fontId="9" fillId="5" borderId="0" xfId="0" applyFont="1" applyFill="1" applyAlignment="1">
      <alignment horizontal="center" vertical="center" textRotation="90"/>
    </xf>
    <xf numFmtId="0" fontId="8" fillId="0" borderId="6" xfId="0" applyFont="1" applyBorder="1" applyAlignment="1">
      <alignment horizontal="center" vertical="center" wrapText="1"/>
    </xf>
    <xf numFmtId="0" fontId="2" fillId="0" borderId="10" xfId="0" applyFont="1" applyBorder="1" applyAlignment="1">
      <alignment horizontal="center" vertical="center" textRotation="90" wrapText="1"/>
    </xf>
    <xf numFmtId="0" fontId="2" fillId="0" borderId="13" xfId="0" applyFont="1" applyBorder="1" applyAlignment="1">
      <alignment horizontal="center" vertical="top" wrapText="1"/>
    </xf>
    <xf numFmtId="0" fontId="33" fillId="0" borderId="49" xfId="0" applyFont="1" applyBorder="1" applyAlignment="1">
      <alignment vertical="center" wrapText="1"/>
    </xf>
    <xf numFmtId="0" fontId="12" fillId="0" borderId="49" xfId="0" applyFont="1" applyBorder="1" applyAlignment="1">
      <alignment vertical="center" wrapText="1"/>
    </xf>
    <xf numFmtId="0" fontId="10" fillId="0" borderId="53" xfId="0" applyFont="1" applyBorder="1" applyAlignment="1" applyProtection="1">
      <alignment horizontal="center" vertical="center" wrapText="1"/>
      <protection locked="0"/>
    </xf>
    <xf numFmtId="0" fontId="29" fillId="0" borderId="48" xfId="0" applyFont="1" applyBorder="1" applyAlignment="1">
      <alignment vertical="center" wrapText="1"/>
    </xf>
    <xf numFmtId="164" fontId="2" fillId="4" borderId="6" xfId="0" applyNumberFormat="1" applyFont="1" applyFill="1" applyBorder="1" applyAlignment="1">
      <alignment horizontal="center" vertical="center"/>
    </xf>
    <xf numFmtId="0" fontId="33" fillId="0" borderId="56" xfId="0" applyFont="1" applyBorder="1" applyAlignment="1">
      <alignment vertical="center" wrapText="1"/>
    </xf>
    <xf numFmtId="0" fontId="12" fillId="0" borderId="56" xfId="0" applyFont="1" applyBorder="1" applyAlignment="1">
      <alignment vertical="center"/>
    </xf>
    <xf numFmtId="0" fontId="10" fillId="0" borderId="57" xfId="0" applyFont="1" applyBorder="1" applyAlignment="1" applyProtection="1">
      <alignment horizontal="center" vertical="center" wrapText="1"/>
      <protection locked="0"/>
    </xf>
    <xf numFmtId="0" fontId="0" fillId="5" borderId="0" xfId="0" applyFill="1"/>
    <xf numFmtId="0" fontId="3" fillId="5" borderId="0" xfId="0" applyFont="1" applyFill="1" applyAlignment="1">
      <alignment horizontal="center" vertical="center" wrapText="1"/>
    </xf>
    <xf numFmtId="0" fontId="2" fillId="5" borderId="0" xfId="0" applyFont="1" applyFill="1" applyAlignment="1">
      <alignment horizontal="left"/>
    </xf>
    <xf numFmtId="0" fontId="2" fillId="5" borderId="0" xfId="0" applyFont="1" applyFill="1" applyAlignment="1">
      <alignment horizontal="center" vertical="center"/>
    </xf>
    <xf numFmtId="0" fontId="2" fillId="5" borderId="0" xfId="0" applyFont="1" applyFill="1" applyAlignment="1">
      <alignment horizontal="justify" vertical="center" wrapText="1"/>
    </xf>
    <xf numFmtId="0" fontId="2" fillId="5" borderId="0" xfId="0" applyFont="1" applyFill="1" applyAlignment="1">
      <alignment horizontal="center" vertical="center" textRotation="90"/>
    </xf>
    <xf numFmtId="9" fontId="8" fillId="5" borderId="0" xfId="0" applyNumberFormat="1" applyFont="1" applyFill="1" applyAlignment="1">
      <alignment horizontal="center" vertical="center"/>
    </xf>
    <xf numFmtId="0" fontId="2" fillId="5" borderId="0" xfId="0" applyFont="1" applyFill="1" applyAlignment="1">
      <alignment horizontal="center" vertical="center" textRotation="90" wrapText="1"/>
    </xf>
    <xf numFmtId="0" fontId="8" fillId="5" borderId="0" xfId="0" applyFont="1" applyFill="1" applyAlignment="1">
      <alignment horizontal="center" vertical="center" textRotation="90" wrapText="1"/>
    </xf>
    <xf numFmtId="9" fontId="2" fillId="5" borderId="0" xfId="0" applyNumberFormat="1" applyFont="1" applyFill="1" applyAlignment="1">
      <alignment horizontal="center" vertical="center"/>
    </xf>
    <xf numFmtId="164" fontId="2" fillId="5" borderId="0" xfId="0" applyNumberFormat="1" applyFont="1" applyFill="1" applyAlignment="1">
      <alignment horizontal="center" vertical="center"/>
    </xf>
    <xf numFmtId="0" fontId="3" fillId="5" borderId="0" xfId="0" applyFont="1" applyFill="1" applyAlignment="1">
      <alignment horizontal="center" vertical="center" textRotation="90"/>
    </xf>
    <xf numFmtId="9" fontId="2" fillId="5" borderId="0" xfId="0" applyNumberFormat="1" applyFont="1" applyFill="1" applyAlignment="1">
      <alignment horizontal="center" vertical="center" textRotation="90"/>
    </xf>
    <xf numFmtId="0" fontId="2" fillId="5" borderId="0" xfId="0" applyFont="1" applyFill="1" applyAlignment="1">
      <alignment vertical="center" textRotation="90"/>
    </xf>
    <xf numFmtId="0" fontId="1" fillId="5" borderId="0" xfId="0" applyFont="1" applyFill="1" applyAlignment="1">
      <alignment horizontal="center" vertical="center" textRotation="90"/>
    </xf>
    <xf numFmtId="0" fontId="2" fillId="5" borderId="0" xfId="0" applyFont="1" applyFill="1" applyAlignment="1">
      <alignment horizontal="center" vertical="center" wrapText="1"/>
    </xf>
    <xf numFmtId="14" fontId="10" fillId="5" borderId="0" xfId="0" applyNumberFormat="1" applyFont="1" applyFill="1" applyAlignment="1" applyProtection="1">
      <alignment horizontal="center" vertical="center"/>
      <protection locked="0"/>
    </xf>
    <xf numFmtId="0" fontId="12" fillId="5" borderId="0" xfId="0" applyFont="1" applyFill="1" applyAlignment="1">
      <alignment horizontal="left" vertical="center" wrapText="1"/>
    </xf>
    <xf numFmtId="0" fontId="12" fillId="5" borderId="0" xfId="0" applyFont="1" applyFill="1" applyAlignment="1">
      <alignment vertical="center" wrapText="1"/>
    </xf>
    <xf numFmtId="0" fontId="12" fillId="5" borderId="0" xfId="0" applyFont="1" applyFill="1" applyAlignment="1">
      <alignment vertical="center"/>
    </xf>
    <xf numFmtId="0" fontId="10" fillId="5" borderId="0" xfId="0" applyFont="1" applyFill="1" applyAlignment="1" applyProtection="1">
      <alignment horizontal="center" vertical="center" wrapText="1"/>
      <protection locked="0"/>
    </xf>
    <xf numFmtId="0" fontId="10" fillId="5" borderId="0" xfId="0" applyFont="1" applyFill="1"/>
    <xf numFmtId="0" fontId="13" fillId="5" borderId="0" xfId="0" applyFont="1" applyFill="1" applyAlignment="1">
      <alignment horizontal="center" vertical="center" wrapText="1"/>
    </xf>
    <xf numFmtId="0" fontId="35" fillId="2" borderId="1" xfId="0" applyFont="1" applyFill="1" applyBorder="1" applyAlignment="1">
      <alignment horizontal="center" vertical="center" wrapText="1"/>
    </xf>
    <xf numFmtId="0" fontId="2" fillId="0" borderId="6" xfId="0" applyFont="1" applyBorder="1" applyAlignment="1">
      <alignment horizontal="justify" vertical="center" wrapText="1"/>
    </xf>
    <xf numFmtId="0" fontId="29" fillId="0" borderId="58" xfId="0" applyFont="1" applyBorder="1" applyAlignment="1">
      <alignment horizontal="center" vertical="center" wrapText="1"/>
    </xf>
    <xf numFmtId="0" fontId="33" fillId="0" borderId="49" xfId="0" applyFont="1" applyBorder="1" applyAlignment="1">
      <alignment horizontal="center" vertical="center" wrapText="1"/>
    </xf>
    <xf numFmtId="0" fontId="12" fillId="0" borderId="49" xfId="0" applyFont="1" applyBorder="1" applyAlignment="1">
      <alignment horizontal="center" vertical="center"/>
    </xf>
    <xf numFmtId="0" fontId="12" fillId="0" borderId="27" xfId="0" applyFont="1" applyBorder="1" applyAlignment="1">
      <alignment horizontal="center" vertical="center" wrapText="1"/>
    </xf>
    <xf numFmtId="0" fontId="25" fillId="0" borderId="28" xfId="0" applyFont="1" applyBorder="1" applyAlignment="1">
      <alignment horizontal="center" vertical="center" wrapText="1"/>
    </xf>
    <xf numFmtId="0" fontId="2" fillId="0" borderId="59" xfId="0" applyFont="1" applyBorder="1" applyAlignment="1">
      <alignment horizontal="justify" vertical="center" wrapText="1"/>
    </xf>
    <xf numFmtId="9" fontId="2" fillId="0" borderId="59" xfId="0" applyNumberFormat="1" applyFont="1" applyBorder="1" applyAlignment="1">
      <alignment horizontal="justify" vertical="center" wrapText="1"/>
    </xf>
    <xf numFmtId="10" fontId="2" fillId="0" borderId="59" xfId="0" applyNumberFormat="1" applyFont="1" applyBorder="1" applyAlignment="1">
      <alignment horizontal="justify" vertical="center" wrapText="1"/>
    </xf>
    <xf numFmtId="0" fontId="10" fillId="0" borderId="0" xfId="0" applyFont="1" applyAlignment="1">
      <alignment horizontal="center" vertical="center"/>
    </xf>
    <xf numFmtId="14" fontId="2" fillId="0" borderId="5" xfId="0" applyNumberFormat="1" applyFont="1" applyBorder="1" applyAlignment="1">
      <alignment horizontal="center" vertical="center" wrapText="1"/>
    </xf>
    <xf numFmtId="0" fontId="0" fillId="0" borderId="55" xfId="0" applyBorder="1" applyAlignment="1">
      <alignment horizontal="center" vertical="center" wrapText="1"/>
    </xf>
    <xf numFmtId="0" fontId="33" fillId="0" borderId="55" xfId="0" applyFont="1" applyBorder="1" applyAlignment="1">
      <alignment horizontal="center" vertical="center" wrapText="1"/>
    </xf>
    <xf numFmtId="0" fontId="12" fillId="0" borderId="55" xfId="0" applyFont="1" applyBorder="1" applyAlignment="1">
      <alignment horizontal="center" vertical="center"/>
    </xf>
    <xf numFmtId="0" fontId="12" fillId="0" borderId="60" xfId="0" applyFont="1" applyBorder="1" applyAlignment="1">
      <alignment horizontal="center" vertical="center" wrapText="1"/>
    </xf>
    <xf numFmtId="0" fontId="25" fillId="0" borderId="50" xfId="0" applyFont="1" applyBorder="1" applyAlignment="1">
      <alignment horizontal="center" vertical="center" wrapText="1"/>
    </xf>
    <xf numFmtId="0" fontId="2" fillId="0" borderId="10" xfId="0" applyFont="1" applyBorder="1" applyAlignment="1">
      <alignment horizontal="justify" vertical="center"/>
    </xf>
    <xf numFmtId="10" fontId="2" fillId="0" borderId="1" xfId="0" applyNumberFormat="1" applyFont="1" applyBorder="1" applyAlignment="1">
      <alignment horizontal="justify" vertical="center" wrapText="1"/>
    </xf>
    <xf numFmtId="0" fontId="0" fillId="0" borderId="56" xfId="0" applyBorder="1" applyAlignment="1">
      <alignment horizontal="center" vertical="center" wrapText="1"/>
    </xf>
    <xf numFmtId="0" fontId="33" fillId="0" borderId="56" xfId="0" applyFont="1" applyBorder="1" applyAlignment="1">
      <alignment horizontal="center" vertical="center" wrapText="1"/>
    </xf>
    <xf numFmtId="0" fontId="12" fillId="0" borderId="56" xfId="0" applyFont="1" applyBorder="1" applyAlignment="1">
      <alignment horizontal="center" vertical="center"/>
    </xf>
    <xf numFmtId="0" fontId="12" fillId="0" borderId="61" xfId="0" applyFont="1" applyBorder="1" applyAlignment="1">
      <alignment horizontal="center" vertical="center" wrapText="1"/>
    </xf>
    <xf numFmtId="0" fontId="25" fillId="0" borderId="12" xfId="0" applyFont="1" applyBorder="1" applyAlignment="1">
      <alignment horizontal="center" vertical="center" wrapText="1"/>
    </xf>
    <xf numFmtId="0" fontId="14" fillId="2" borderId="27" xfId="2" applyFill="1" applyBorder="1" applyAlignment="1">
      <alignment horizontal="center" vertical="center" wrapText="1"/>
    </xf>
    <xf numFmtId="0" fontId="14" fillId="2" borderId="5" xfId="2" applyFill="1" applyBorder="1" applyAlignment="1">
      <alignment horizontal="center" vertical="center" wrapText="1"/>
    </xf>
    <xf numFmtId="0" fontId="14" fillId="2" borderId="36" xfId="2" applyFill="1" applyBorder="1" applyAlignment="1">
      <alignment horizontal="center" vertical="center" wrapText="1"/>
    </xf>
    <xf numFmtId="0" fontId="14" fillId="2" borderId="28" xfId="2" applyFill="1" applyBorder="1" applyAlignment="1">
      <alignment horizontal="center" vertical="center" wrapText="1"/>
    </xf>
    <xf numFmtId="0" fontId="2" fillId="2" borderId="24" xfId="0" applyFont="1" applyFill="1" applyBorder="1"/>
    <xf numFmtId="0" fontId="2" fillId="2" borderId="0" xfId="0" applyFont="1" applyFill="1"/>
    <xf numFmtId="0" fontId="1" fillId="2" borderId="36" xfId="0" applyFont="1" applyFill="1" applyBorder="1" applyAlignment="1">
      <alignment horizontal="center"/>
    </xf>
    <xf numFmtId="0" fontId="1" fillId="2" borderId="37" xfId="0" applyFont="1" applyFill="1" applyBorder="1" applyAlignment="1">
      <alignment horizontal="center"/>
    </xf>
    <xf numFmtId="0" fontId="1" fillId="2" borderId="38" xfId="0" applyFont="1" applyFill="1" applyBorder="1" applyAlignment="1">
      <alignment horizontal="center"/>
    </xf>
    <xf numFmtId="0" fontId="2" fillId="2" borderId="29" xfId="0" applyFont="1" applyFill="1" applyBorder="1" applyAlignment="1">
      <alignment horizontal="center"/>
    </xf>
    <xf numFmtId="0" fontId="2" fillId="2" borderId="50" xfId="0" applyFont="1" applyFill="1" applyBorder="1" applyAlignment="1">
      <alignment horizontal="center"/>
    </xf>
    <xf numFmtId="0" fontId="1" fillId="2" borderId="24" xfId="0" applyFont="1" applyFill="1" applyBorder="1" applyAlignment="1">
      <alignment horizontal="center" vertical="center"/>
    </xf>
    <xf numFmtId="0" fontId="1" fillId="2" borderId="0" xfId="0" applyFont="1" applyFill="1" applyAlignment="1">
      <alignment horizontal="center" vertical="center"/>
    </xf>
    <xf numFmtId="0" fontId="1" fillId="2" borderId="23" xfId="0" applyFont="1" applyFill="1" applyBorder="1" applyAlignment="1">
      <alignment horizontal="center" vertical="center"/>
    </xf>
    <xf numFmtId="0" fontId="1" fillId="2" borderId="62" xfId="0" applyFont="1" applyFill="1" applyBorder="1" applyAlignment="1">
      <alignment horizontal="center" vertical="center"/>
    </xf>
    <xf numFmtId="0" fontId="1" fillId="2" borderId="63" xfId="0" applyFont="1" applyFill="1" applyBorder="1" applyAlignment="1">
      <alignment horizontal="center" vertical="center"/>
    </xf>
    <xf numFmtId="0" fontId="3" fillId="0" borderId="1" xfId="0" applyFont="1" applyBorder="1" applyAlignment="1">
      <alignment horizontal="justify" vertical="top"/>
    </xf>
    <xf numFmtId="0" fontId="5" fillId="0" borderId="1" xfId="0" applyFont="1" applyBorder="1" applyAlignment="1">
      <alignment horizontal="center" vertical="top"/>
    </xf>
    <xf numFmtId="9" fontId="3" fillId="0" borderId="1" xfId="0" applyNumberFormat="1" applyFont="1" applyBorder="1" applyAlignment="1">
      <alignment horizontal="center" vertical="top" wrapText="1"/>
    </xf>
    <xf numFmtId="9" fontId="3" fillId="0" borderId="1" xfId="1" applyNumberFormat="1" applyFont="1" applyBorder="1" applyAlignment="1">
      <alignment horizontal="center" vertical="top" wrapText="1"/>
    </xf>
    <xf numFmtId="0" fontId="9" fillId="4" borderId="1" xfId="0" applyFont="1" applyFill="1" applyBorder="1" applyAlignment="1">
      <alignment horizontal="center" vertical="top" textRotation="90"/>
    </xf>
    <xf numFmtId="9" fontId="2" fillId="0" borderId="1" xfId="0" applyNumberFormat="1" applyFont="1" applyBorder="1" applyAlignment="1">
      <alignment horizontal="justify" vertical="center" wrapText="1"/>
    </xf>
    <xf numFmtId="0" fontId="8" fillId="0" borderId="1" xfId="0" applyFont="1" applyBorder="1" applyAlignment="1">
      <alignment horizontal="justify" vertical="top" wrapText="1"/>
    </xf>
    <xf numFmtId="14" fontId="2" fillId="0" borderId="1" xfId="0" applyNumberFormat="1" applyFont="1" applyBorder="1" applyAlignment="1">
      <alignment horizontal="justify" vertical="top" wrapText="1"/>
    </xf>
    <xf numFmtId="0" fontId="12" fillId="0" borderId="1" xfId="0" applyFont="1" applyBorder="1" applyAlignment="1">
      <alignment vertical="center" wrapText="1"/>
    </xf>
    <xf numFmtId="0" fontId="23" fillId="0" borderId="1" xfId="0" applyFont="1" applyBorder="1" applyAlignment="1">
      <alignment horizontal="center" vertical="center" wrapText="1"/>
    </xf>
    <xf numFmtId="14" fontId="12" fillId="0" borderId="1" xfId="0" applyNumberFormat="1" applyFont="1" applyBorder="1" applyAlignment="1" applyProtection="1">
      <alignment horizontal="center" vertical="center"/>
      <protection locked="0"/>
    </xf>
    <xf numFmtId="0" fontId="12" fillId="0" borderId="5" xfId="0" applyFont="1" applyBorder="1" applyAlignment="1">
      <alignment horizontal="center" vertical="top" wrapText="1"/>
    </xf>
    <xf numFmtId="0" fontId="23" fillId="0" borderId="1" xfId="0" applyFont="1" applyBorder="1" applyAlignment="1">
      <alignment horizontal="center" vertical="top" wrapText="1"/>
    </xf>
    <xf numFmtId="0" fontId="12" fillId="0" borderId="1" xfId="0" applyFont="1" applyBorder="1" applyAlignment="1">
      <alignment vertical="center"/>
    </xf>
    <xf numFmtId="0" fontId="12" fillId="0" borderId="29" xfId="0" applyFont="1" applyBorder="1" applyAlignment="1">
      <alignment horizontal="center" vertical="top" wrapText="1"/>
    </xf>
    <xf numFmtId="0" fontId="23" fillId="5" borderId="45" xfId="0" applyFont="1" applyFill="1" applyBorder="1" applyAlignment="1">
      <alignment vertical="center" wrapText="1"/>
    </xf>
    <xf numFmtId="0" fontId="12" fillId="0" borderId="6" xfId="0" applyFont="1" applyBorder="1" applyAlignment="1">
      <alignment horizontal="center" vertical="top" wrapText="1"/>
    </xf>
    <xf numFmtId="0" fontId="3" fillId="4" borderId="0" xfId="0" applyFont="1" applyFill="1" applyAlignment="1">
      <alignment horizontal="center" vertical="center"/>
    </xf>
    <xf numFmtId="9" fontId="3" fillId="4" borderId="0" xfId="0" applyNumberFormat="1" applyFont="1" applyFill="1" applyAlignment="1">
      <alignment horizontal="center" vertical="center"/>
    </xf>
    <xf numFmtId="41" fontId="3" fillId="0" borderId="0" xfId="1" applyFont="1" applyBorder="1" applyAlignment="1">
      <alignment horizontal="center" vertical="center" wrapText="1"/>
    </xf>
    <xf numFmtId="0" fontId="9" fillId="4" borderId="0" xfId="0" applyFont="1" applyFill="1" applyAlignment="1">
      <alignment horizontal="center" vertical="center" textRotation="90"/>
    </xf>
    <xf numFmtId="14" fontId="2" fillId="0" borderId="1" xfId="0" applyNumberFormat="1" applyFont="1" applyBorder="1" applyAlignment="1" applyProtection="1">
      <alignment horizontal="center" vertical="center"/>
      <protection locked="0"/>
    </xf>
    <xf numFmtId="0" fontId="23" fillId="5" borderId="48" xfId="0" applyFont="1" applyFill="1" applyBorder="1" applyAlignment="1">
      <alignment horizontal="left" vertical="center" wrapText="1"/>
    </xf>
    <xf numFmtId="0" fontId="12" fillId="0" borderId="64" xfId="0" applyFont="1" applyBorder="1" applyAlignment="1">
      <alignment vertical="center" wrapText="1"/>
    </xf>
    <xf numFmtId="0" fontId="12" fillId="0" borderId="5" xfId="0" applyFont="1" applyBorder="1" applyAlignment="1">
      <alignment vertical="center" wrapText="1"/>
    </xf>
    <xf numFmtId="0" fontId="12" fillId="0" borderId="5" xfId="0" applyFont="1" applyBorder="1" applyAlignment="1">
      <alignment vertical="center" wrapText="1"/>
    </xf>
    <xf numFmtId="0" fontId="13" fillId="0" borderId="1" xfId="0" applyFont="1" applyBorder="1" applyAlignment="1">
      <alignment horizontal="center" vertical="center" wrapText="1"/>
    </xf>
    <xf numFmtId="0" fontId="12" fillId="0" borderId="65" xfId="0" applyFont="1" applyBorder="1" applyAlignment="1">
      <alignment vertical="center" wrapText="1"/>
    </xf>
    <xf numFmtId="0" fontId="12" fillId="0" borderId="29" xfId="0" applyFont="1" applyBorder="1" applyAlignment="1">
      <alignment vertical="center"/>
    </xf>
    <xf numFmtId="0" fontId="12" fillId="0" borderId="29" xfId="0" applyFont="1" applyBorder="1" applyAlignment="1">
      <alignment vertical="center" wrapText="1"/>
    </xf>
    <xf numFmtId="0" fontId="23" fillId="0" borderId="48" xfId="0" applyFont="1" applyBorder="1" applyAlignment="1">
      <alignment horizontal="left" vertical="center" wrapText="1"/>
    </xf>
    <xf numFmtId="0" fontId="12" fillId="0" borderId="66" xfId="0" applyFont="1" applyBorder="1" applyAlignment="1">
      <alignment vertical="center" wrapText="1"/>
    </xf>
    <xf numFmtId="0" fontId="12" fillId="0" borderId="67" xfId="0" applyFont="1" applyBorder="1" applyAlignment="1">
      <alignment vertical="center"/>
    </xf>
    <xf numFmtId="0" fontId="12" fillId="0" borderId="6" xfId="0" applyFont="1" applyBorder="1" applyAlignment="1">
      <alignment vertical="center" wrapText="1"/>
    </xf>
    <xf numFmtId="0" fontId="41" fillId="0" borderId="1" xfId="0" applyFont="1" applyBorder="1" applyAlignment="1">
      <alignment horizontal="center" vertical="top" wrapText="1"/>
    </xf>
    <xf numFmtId="0" fontId="5" fillId="0" borderId="1" xfId="0" applyFont="1" applyBorder="1" applyAlignment="1">
      <alignment horizontal="center" vertical="top" wrapText="1"/>
    </xf>
    <xf numFmtId="0" fontId="23" fillId="0" borderId="1" xfId="0" applyFont="1" applyBorder="1" applyAlignment="1">
      <alignment horizontal="center" vertical="center" textRotation="90" wrapText="1"/>
    </xf>
    <xf numFmtId="0" fontId="23" fillId="0" borderId="1" xfId="0" applyFont="1" applyBorder="1" applyAlignment="1">
      <alignment horizontal="center" vertical="center" wrapText="1"/>
    </xf>
    <xf numFmtId="0" fontId="2" fillId="0" borderId="1" xfId="0" applyFont="1" applyBorder="1" applyAlignment="1">
      <alignment horizontal="center" vertical="top" wrapText="1"/>
    </xf>
    <xf numFmtId="0" fontId="43" fillId="0" borderId="1" xfId="0" applyFont="1" applyBorder="1" applyAlignment="1">
      <alignment horizontal="center" vertical="top" wrapText="1"/>
    </xf>
    <xf numFmtId="0" fontId="33" fillId="0" borderId="1" xfId="0" applyFont="1" applyBorder="1" applyAlignment="1">
      <alignment horizontal="center" vertical="center" wrapText="1"/>
    </xf>
    <xf numFmtId="0" fontId="12" fillId="0" borderId="1" xfId="0" applyFont="1" applyBorder="1" applyAlignment="1">
      <alignment vertical="center"/>
    </xf>
    <xf numFmtId="0" fontId="12" fillId="0" borderId="1" xfId="0" applyFont="1" applyBorder="1" applyAlignment="1">
      <alignment vertical="center" wrapText="1"/>
    </xf>
    <xf numFmtId="0" fontId="23" fillId="0" borderId="1" xfId="0" applyFont="1" applyBorder="1" applyAlignment="1">
      <alignment horizontal="center" vertical="center" textRotation="90"/>
    </xf>
    <xf numFmtId="14" fontId="12" fillId="0" borderId="1" xfId="0" applyNumberFormat="1" applyFont="1" applyBorder="1" applyAlignment="1">
      <alignment horizontal="left" vertical="center" wrapText="1"/>
    </xf>
    <xf numFmtId="0" fontId="2" fillId="0" borderId="1" xfId="0" applyFont="1" applyBorder="1" applyAlignment="1">
      <alignment horizontal="left" vertical="center"/>
    </xf>
    <xf numFmtId="0" fontId="13" fillId="0" borderId="1" xfId="0" applyFont="1" applyBorder="1" applyAlignment="1">
      <alignment horizontal="center" vertical="center" wrapText="1"/>
    </xf>
    <xf numFmtId="14" fontId="25" fillId="0" borderId="1" xfId="0" applyNumberFormat="1" applyFont="1" applyBorder="1" applyAlignment="1">
      <alignment vertical="center"/>
    </xf>
    <xf numFmtId="0" fontId="12" fillId="0" borderId="4" xfId="0" applyFont="1" applyBorder="1" applyAlignment="1">
      <alignment vertical="center" wrapText="1"/>
    </xf>
    <xf numFmtId="0" fontId="23" fillId="0" borderId="5" xfId="0" applyFont="1" applyBorder="1" applyAlignment="1">
      <alignment vertical="center" wrapText="1"/>
    </xf>
    <xf numFmtId="0" fontId="23" fillId="0" borderId="5" xfId="0" applyFont="1" applyBorder="1" applyAlignment="1" applyProtection="1">
      <alignment horizontal="center" vertical="center" wrapText="1"/>
      <protection locked="0"/>
    </xf>
    <xf numFmtId="0" fontId="23" fillId="0" borderId="1" xfId="0" applyFont="1" applyBorder="1" applyAlignment="1">
      <alignment vertical="center"/>
    </xf>
    <xf numFmtId="0" fontId="12" fillId="0" borderId="39" xfId="0" applyFont="1" applyBorder="1" applyAlignment="1">
      <alignment vertical="center" wrapText="1"/>
    </xf>
    <xf numFmtId="0" fontId="23" fillId="0" borderId="29" xfId="0" applyFont="1" applyBorder="1" applyAlignment="1">
      <alignment vertical="center" wrapText="1"/>
    </xf>
    <xf numFmtId="0" fontId="10" fillId="0" borderId="29" xfId="0" applyFont="1" applyBorder="1" applyAlignment="1" applyProtection="1">
      <alignment horizontal="center" vertical="center" wrapText="1"/>
      <protection locked="0"/>
    </xf>
    <xf numFmtId="0" fontId="23" fillId="0" borderId="6" xfId="0" applyFont="1" applyBorder="1" applyAlignment="1">
      <alignment vertical="center" wrapText="1"/>
    </xf>
    <xf numFmtId="0" fontId="10" fillId="0" borderId="6" xfId="0" applyFont="1" applyBorder="1" applyAlignment="1" applyProtection="1">
      <alignment horizontal="center" vertical="center" wrapText="1"/>
      <protection locked="0"/>
    </xf>
    <xf numFmtId="0" fontId="33" fillId="0" borderId="5" xfId="0" applyFont="1" applyBorder="1" applyAlignment="1">
      <alignment horizontal="center" vertical="center" wrapText="1"/>
    </xf>
    <xf numFmtId="0" fontId="12" fillId="0" borderId="5" xfId="0" applyFont="1" applyBorder="1" applyAlignment="1">
      <alignment vertical="center"/>
    </xf>
    <xf numFmtId="0" fontId="23" fillId="0" borderId="1" xfId="0" applyFont="1" applyBorder="1" applyAlignment="1">
      <alignment vertical="center" wrapText="1"/>
    </xf>
    <xf numFmtId="0" fontId="0" fillId="0" borderId="1" xfId="0" applyBorder="1" applyAlignment="1">
      <alignment horizontal="justify" vertical="top" wrapText="1"/>
    </xf>
    <xf numFmtId="0" fontId="12" fillId="0" borderId="6" xfId="0" applyFont="1" applyBorder="1" applyAlignment="1">
      <alignment vertical="center" wrapText="1"/>
    </xf>
    <xf numFmtId="0" fontId="33" fillId="0" borderId="29" xfId="0" applyFont="1" applyBorder="1" applyAlignment="1">
      <alignment horizontal="center" vertical="center" wrapText="1"/>
    </xf>
    <xf numFmtId="0" fontId="12" fillId="0" borderId="29" xfId="0" applyFont="1" applyBorder="1" applyAlignment="1">
      <alignment vertical="center"/>
    </xf>
    <xf numFmtId="0" fontId="2" fillId="5" borderId="1" xfId="0" applyFont="1" applyFill="1" applyBorder="1" applyAlignment="1">
      <alignment horizontal="center" vertical="center" textRotation="90" wrapText="1"/>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12" fillId="0" borderId="1" xfId="0" applyFont="1" applyBorder="1" applyAlignment="1">
      <alignment horizontal="justify" vertical="center"/>
    </xf>
    <xf numFmtId="0" fontId="33" fillId="0" borderId="6" xfId="0" applyFont="1" applyBorder="1" applyAlignment="1">
      <alignment horizontal="center" vertical="center" wrapText="1"/>
    </xf>
    <xf numFmtId="0" fontId="12" fillId="0" borderId="6" xfId="0" applyFont="1" applyBorder="1" applyAlignment="1">
      <alignment vertical="center"/>
    </xf>
    <xf numFmtId="0" fontId="8" fillId="0" borderId="0" xfId="0" applyFont="1"/>
    <xf numFmtId="0" fontId="8" fillId="0" borderId="0" xfId="0" applyFont="1" applyAlignment="1">
      <alignment horizontal="left"/>
    </xf>
    <xf numFmtId="0" fontId="8" fillId="2" borderId="20" xfId="0" applyFont="1" applyFill="1" applyBorder="1"/>
    <xf numFmtId="0" fontId="8" fillId="2" borderId="27" xfId="0" applyFont="1" applyFill="1" applyBorder="1" applyAlignment="1">
      <alignment horizontal="center" vertical="center" textRotation="90"/>
    </xf>
    <xf numFmtId="0" fontId="8" fillId="0" borderId="18" xfId="0" applyFont="1" applyBorder="1" applyAlignment="1">
      <alignment horizontal="left"/>
    </xf>
    <xf numFmtId="0" fontId="8" fillId="0" borderId="13" xfId="0" applyFont="1" applyBorder="1" applyAlignment="1">
      <alignment horizontal="center" vertical="center"/>
    </xf>
    <xf numFmtId="0" fontId="44" fillId="0" borderId="1" xfId="0" applyFont="1" applyBorder="1" applyAlignment="1">
      <alignment horizontal="center" vertical="center"/>
    </xf>
    <xf numFmtId="0" fontId="8" fillId="0" borderId="13" xfId="0" applyFont="1" applyBorder="1" applyAlignment="1">
      <alignment horizontal="justify" vertical="top" wrapText="1"/>
    </xf>
    <xf numFmtId="14" fontId="8" fillId="0" borderId="1" xfId="0" applyNumberFormat="1" applyFont="1" applyBorder="1" applyAlignment="1">
      <alignment horizontal="justify" vertical="top" wrapText="1"/>
    </xf>
    <xf numFmtId="14" fontId="10" fillId="0" borderId="27" xfId="0" applyNumberFormat="1" applyFont="1" applyBorder="1" applyAlignment="1" applyProtection="1">
      <alignment horizontal="center" vertical="center"/>
      <protection locked="0"/>
    </xf>
    <xf numFmtId="0" fontId="23" fillId="0" borderId="68" xfId="0" applyFont="1" applyBorder="1" applyAlignment="1">
      <alignment vertical="center" wrapText="1"/>
    </xf>
    <xf numFmtId="0" fontId="23" fillId="0" borderId="69" xfId="0" applyFont="1" applyBorder="1" applyAlignment="1">
      <alignment horizontal="center" vertical="center" wrapText="1"/>
    </xf>
    <xf numFmtId="0" fontId="23" fillId="0" borderId="69" xfId="0" applyFont="1" applyBorder="1" applyAlignment="1">
      <alignment horizontal="center" vertical="center"/>
    </xf>
    <xf numFmtId="0" fontId="12" fillId="0" borderId="70" xfId="0" applyFont="1" applyBorder="1" applyAlignment="1">
      <alignment vertical="center" wrapText="1"/>
    </xf>
    <xf numFmtId="0" fontId="8" fillId="0" borderId="27" xfId="0" applyFont="1" applyBorder="1" applyAlignment="1">
      <alignment horizontal="center" vertical="center"/>
    </xf>
    <xf numFmtId="0" fontId="8" fillId="0" borderId="29" xfId="0" applyFont="1" applyBorder="1" applyAlignment="1">
      <alignment horizontal="justify" vertical="center" wrapText="1"/>
    </xf>
    <xf numFmtId="0" fontId="8" fillId="0" borderId="27" xfId="0" applyFont="1" applyBorder="1" applyAlignment="1">
      <alignment horizontal="justify" vertical="top" wrapText="1"/>
    </xf>
    <xf numFmtId="14" fontId="8" fillId="0" borderId="5" xfId="0" applyNumberFormat="1" applyFont="1" applyBorder="1" applyAlignment="1">
      <alignment horizontal="justify" vertical="top" wrapText="1"/>
    </xf>
    <xf numFmtId="0" fontId="10" fillId="0" borderId="60" xfId="0" applyFont="1" applyBorder="1" applyAlignment="1" applyProtection="1">
      <alignment horizontal="center" vertical="center"/>
      <protection locked="0"/>
    </xf>
    <xf numFmtId="0" fontId="23" fillId="0" borderId="71" xfId="0" applyFont="1" applyBorder="1" applyAlignment="1">
      <alignment horizontal="center" vertical="center" wrapText="1"/>
    </xf>
    <xf numFmtId="0" fontId="23" fillId="0" borderId="71" xfId="0" applyFont="1" applyBorder="1" applyAlignment="1">
      <alignment horizontal="center" vertical="center"/>
    </xf>
    <xf numFmtId="0" fontId="12" fillId="0" borderId="72" xfId="0" applyFont="1" applyBorder="1" applyAlignment="1">
      <alignment vertical="center" wrapText="1"/>
    </xf>
    <xf numFmtId="0" fontId="35" fillId="0" borderId="6" xfId="0" applyFont="1" applyBorder="1" applyAlignment="1">
      <alignment horizontal="center" vertical="center" wrapText="1"/>
    </xf>
    <xf numFmtId="0" fontId="8" fillId="0" borderId="5" xfId="0" applyFont="1" applyBorder="1" applyAlignment="1">
      <alignment horizontal="justify" vertical="center" wrapText="1"/>
    </xf>
    <xf numFmtId="9" fontId="8" fillId="0" borderId="5" xfId="0" applyNumberFormat="1" applyFont="1" applyBorder="1" applyAlignment="1">
      <alignment horizontal="justify" vertical="center" wrapText="1"/>
    </xf>
    <xf numFmtId="10" fontId="8" fillId="0" borderId="5" xfId="0" applyNumberFormat="1" applyFont="1" applyBorder="1" applyAlignment="1">
      <alignment horizontal="justify" vertical="center" wrapText="1"/>
    </xf>
    <xf numFmtId="0" fontId="2" fillId="0" borderId="73" xfId="0" applyFont="1" applyBorder="1" applyAlignment="1">
      <alignment vertical="center" wrapText="1"/>
    </xf>
    <xf numFmtId="0" fontId="23" fillId="0" borderId="6" xfId="0" applyFont="1" applyBorder="1" applyAlignment="1">
      <alignment horizontal="center" vertical="center" wrapText="1"/>
    </xf>
    <xf numFmtId="0" fontId="23" fillId="0" borderId="73" xfId="0" applyFont="1" applyBorder="1" applyAlignment="1">
      <alignment vertical="center" wrapText="1"/>
    </xf>
    <xf numFmtId="0" fontId="36" fillId="0" borderId="1" xfId="0" applyFont="1" applyBorder="1" applyAlignment="1">
      <alignment horizontal="center" vertical="center" textRotation="90" wrapText="1"/>
    </xf>
    <xf numFmtId="0" fontId="10" fillId="0" borderId="74" xfId="0" applyFont="1" applyBorder="1" applyAlignment="1" applyProtection="1">
      <alignment horizontal="center" vertical="center"/>
      <protection locked="0"/>
    </xf>
    <xf numFmtId="0" fontId="23" fillId="0" borderId="75" xfId="0" applyFont="1" applyBorder="1" applyAlignment="1">
      <alignment horizontal="center" vertical="center" wrapText="1"/>
    </xf>
    <xf numFmtId="0" fontId="23" fillId="0" borderId="75" xfId="0" applyFont="1" applyBorder="1" applyAlignment="1">
      <alignment horizontal="center" vertical="center"/>
    </xf>
    <xf numFmtId="0" fontId="12" fillId="0" borderId="61" xfId="0" applyFont="1" applyBorder="1" applyAlignment="1">
      <alignment vertical="center" wrapText="1"/>
    </xf>
    <xf numFmtId="0" fontId="8" fillId="0" borderId="0" xfId="0" applyFont="1" applyAlignment="1">
      <alignment horizontal="center" vertical="center"/>
    </xf>
  </cellXfs>
  <cellStyles count="4">
    <cellStyle name="Hipervínculo" xfId="2" builtinId="8"/>
    <cellStyle name="Millares [0]" xfId="1" builtinId="6"/>
    <cellStyle name="Normal" xfId="0" builtinId="0"/>
    <cellStyle name="Normal 2" xfId="3" xr:uid="{187CB8BC-1150-4448-B6A8-3A8CC3C74A33}"/>
  </cellStyles>
  <dxfs count="496">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24133FAB-FEF9-498C-B37A-1EF4B0241D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7743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0AF1CC01-EBFF-4E6F-8531-99CB707BBF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77434" cy="1366801"/>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0965447F-F449-4343-ADD6-128BB1A088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89BA7812-D47E-4A8A-A982-B1CB5ADDA4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C8EEC339-2186-4DFD-AA53-541716ADC7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421F1A29-506A-47C5-8203-9358B59B45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7178C108-A05F-486C-B75A-07F3CFCAF8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95376582-3437-4D76-8176-D4835D6769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A4CCDC3E-26E6-481E-96D4-4B2ACD3A27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BD662F9D-ABF1-416D-9465-2A0058EF3B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4FFC12ED-5D15-466D-986A-6B57F267CF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B6DB7821-6876-4CB3-9EA9-3547D5C95A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F99B0C3D-D7BF-4B0E-B0B3-E9CC56D48D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F96BD2B5-C2A6-4ACD-89DC-B4B1ADC76B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95BB231A-1C96-4F19-AA92-3F31F40036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9F08C790-A038-449D-90D0-021B000B7C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72B1EF8B-DFF4-445F-84F6-B1FA4B8E5E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9AFCDDF8-3474-479F-A2E7-02F1B67D7B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F48FF3AE-2149-47C1-AD01-84EA8575EA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60A3B7C1-AA1B-4DC4-A203-501DD3FF0F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58ABD9A6-0698-4BE0-9DA3-712A709FB5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E33E1931-4072-4C26-8042-B977B4CA6B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EEF0FAD8-4B2B-42ED-AD0D-385CE1C23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BDD7558-08AD-42AA-8F3E-E0E7F71B9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9C43EAD8-77B2-4C97-B038-762F692D78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A41DBBE-CE99-418A-96EA-E1A98E71E9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1884E565-97E8-4473-891F-808727C1CA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7743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914996B0-3064-4633-8C2F-FE4A7F88F3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77434" cy="136680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8ECDF3DC-E50E-41A7-8D88-6968262940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A4E2E9B6-C785-4D40-8FF8-E5745564B5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D56919C7-6C21-43A9-8870-4DF7DA1E76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9BA41F2-0804-4E61-A501-FD3ADD1ADD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38250B28-FD44-41E6-8A47-E5D82AF50B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93DC3BA5-549A-423E-92A4-AF0BCA6137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833EB329-6C00-47C8-A7AD-141A888A03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D9AF9BCA-FC73-473E-9252-73D584CEB4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7E169DED-E106-4C53-A912-109566B59C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4281AA72-C7E8-4A58-9C48-41D8B99CA8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B02A520A-662F-4784-91BE-BB877CCE13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4E7A1EBF-9C50-43E9-85D8-FC1A9AC0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ownloads\Mapa%20de%20Riesgos%20de%20Gesti&#243;n%20Ambiental%202026.xlsx" TargetMode="External"/><Relationship Id="rId1" Type="http://schemas.openxmlformats.org/officeDocument/2006/relationships/externalLinkPath" Target="file:///C:\Users\User\Downloads\Mapa%20de%20Riesgos%20de%20Gesti&#243;n%20Ambiental%2020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er\Downloads\Mapa%20de%20Riesgos%20de%20Gesti&#243;n%20Jur&#237;dica%202026.xlsx" TargetMode="External"/><Relationship Id="rId1" Type="http://schemas.openxmlformats.org/officeDocument/2006/relationships/externalLinkPath" Target="file:///C:\Users\User\Downloads\Mapa%20de%20Riesgos%20de%20Gesti&#243;n%20Jur&#237;dica%20202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User\Downloads\Mapa%20de%20Riesgos%20de%20Gesti&#243;n%20Financiera%202026.xlsx" TargetMode="External"/><Relationship Id="rId1" Type="http://schemas.openxmlformats.org/officeDocument/2006/relationships/externalLinkPath" Target="file:///C:\Users\User\Downloads\Mapa%20de%20Riesgos%20de%20Gesti&#243;n%20Financiera%202026.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User\Downloads\Mapa%20de%20Riesgos%20de%20Gesti&#243;n%20GContractual%202026.xlsx" TargetMode="External"/><Relationship Id="rId1" Type="http://schemas.openxmlformats.org/officeDocument/2006/relationships/externalLinkPath" Target="file:///C:\Users\User\Downloads\Mapa%20de%20Riesgos%20de%20Gesti&#243;n%20GContractual%202026.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Users\User\Downloads\Mapa%20de%20Riesgos%20de%20Gesti&#243;n%20Economato%202026.xlsx" TargetMode="External"/><Relationship Id="rId1" Type="http://schemas.openxmlformats.org/officeDocument/2006/relationships/externalLinkPath" Target="file:///C:\Users\User\Downloads\Mapa%20de%20Riesgos%20de%20Gesti&#243;n%20Economato%202026.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Users\User\Downloads\Mapa%20de%20Riesgos%20de%20Gesti&#243;n%20Documental%202026.xlsx" TargetMode="External"/><Relationship Id="rId1" Type="http://schemas.openxmlformats.org/officeDocument/2006/relationships/externalLinkPath" Target="file:///C:\Users\User\Downloads\Mapa%20de%20Riesgos%20de%20Gesti&#243;n%20Documental%202026.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User\Downloads\Mapa%20de%20Riesgos%20de%20Gesti&#243;n%20Servicios%20Administrativos%202026.xlsx" TargetMode="External"/><Relationship Id="rId1" Type="http://schemas.openxmlformats.org/officeDocument/2006/relationships/externalLinkPath" Target="file:///C:\Users\User\Downloads\Mapa%20de%20Riesgos%20de%20Gesti&#243;n%20Servicios%20Administrativos%202026.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Users\User\Downloads\Mapa%20de%20Riesgos%20de%20Gesti&#243;n%20de%20Adecuaci&#243;nMantenimi%202026.xlsx" TargetMode="External"/><Relationship Id="rId1" Type="http://schemas.openxmlformats.org/officeDocument/2006/relationships/externalLinkPath" Target="file:///C:\Users\User\Downloads\Mapa%20de%20Riesgos%20de%20Gesti&#243;n%20de%20Adecuaci&#243;nMantenimi%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iesgos Gestión #1"/>
      <sheetName val="Riesgos Gestión #2"/>
      <sheetName val="Riesgos Gestión #3"/>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DE CAMBIOS"/>
      <sheetName val="Riesgos Gestión #1"/>
      <sheetName val="Riesgos Gestión #2"/>
      <sheetName val="Datos"/>
      <sheetName val="Instructivo"/>
    </sheetNames>
    <sheetDataSet>
      <sheetData sheetId="0" refreshError="1"/>
      <sheetData sheetId="1"/>
      <sheetData sheetId="2"/>
      <sheetData sheetId="3">
        <row r="4">
          <cell r="J4" t="str">
            <v>MUY BAJA - LEVE</v>
          </cell>
          <cell r="K4" t="str">
            <v>BAJO</v>
          </cell>
          <cell r="O4" t="str">
            <v>Afectación Menor o igual a 700 SMLMV</v>
          </cell>
          <cell r="P4" t="str">
            <v>Leve</v>
          </cell>
        </row>
        <row r="5">
          <cell r="J5" t="str">
            <v>MUY BAJA - MENOR</v>
          </cell>
          <cell r="K5" t="str">
            <v>BAJO</v>
          </cell>
          <cell r="O5" t="str">
            <v>Afectación mayor a 700 y menor o igual a 1500 SMLMV</v>
          </cell>
          <cell r="P5" t="str">
            <v>Menor</v>
          </cell>
        </row>
        <row r="6">
          <cell r="J6" t="str">
            <v>MUY BAJA - MODERADO</v>
          </cell>
          <cell r="K6" t="str">
            <v>MODERADO</v>
          </cell>
          <cell r="O6" t="str">
            <v>Afectación mayor a 1500 y menor o igual a 2300 SMLMV</v>
          </cell>
          <cell r="P6" t="str">
            <v>Moderado</v>
          </cell>
        </row>
        <row r="7">
          <cell r="J7" t="str">
            <v>MUY BAJA - MAYOR</v>
          </cell>
          <cell r="K7" t="str">
            <v>ALTO</v>
          </cell>
          <cell r="O7" t="str">
            <v>Afectación mayor a 2300 y menor o igual a 3000 SMLMV</v>
          </cell>
          <cell r="P7" t="str">
            <v>Mayor</v>
          </cell>
        </row>
        <row r="8">
          <cell r="J8" t="str">
            <v>MUY BAJA - CATASTRÓFICO</v>
          </cell>
          <cell r="K8" t="str">
            <v>EXTREMO</v>
          </cell>
          <cell r="O8" t="str">
            <v xml:space="preserve">Afectación mayor a 3000 SMLMV </v>
          </cell>
          <cell r="P8" t="str">
            <v>Catastrófico</v>
          </cell>
        </row>
        <row r="9">
          <cell r="J9" t="str">
            <v>BAJA - LEVE</v>
          </cell>
          <cell r="K9" t="str">
            <v>BAJO</v>
          </cell>
        </row>
        <row r="10">
          <cell r="J10" t="str">
            <v>BAJA - MENOR</v>
          </cell>
          <cell r="K10" t="str">
            <v>MODERADO</v>
          </cell>
          <cell r="O10" t="str">
            <v>AFECTACIÓN REPUTACIONAL</v>
          </cell>
        </row>
        <row r="11">
          <cell r="J11" t="str">
            <v>BAJA - MODERADO</v>
          </cell>
          <cell r="K11" t="str">
            <v>MODERADO</v>
          </cell>
          <cell r="O11" t="str">
            <v>El riesgo afecta la imagen de algún área de la organización.</v>
          </cell>
          <cell r="P11" t="str">
            <v>Leve</v>
          </cell>
        </row>
        <row r="12">
          <cell r="J12" t="str">
            <v>BAJA - MAYOR</v>
          </cell>
          <cell r="K12" t="str">
            <v>ALTO</v>
          </cell>
          <cell r="O12" t="str">
            <v>El riesgo afecta la imagen de la entidad internamente, de conocimiento general nivel interno, de junta directiva y/o de proveedores</v>
          </cell>
          <cell r="P12" t="str">
            <v>Menor</v>
          </cell>
        </row>
        <row r="13">
          <cell r="J13" t="str">
            <v>BAJA - CATASTRÓFICO</v>
          </cell>
          <cell r="K13" t="str">
            <v>EXTREMO</v>
          </cell>
          <cell r="O13" t="str">
            <v>El riesgo afecta la imagen de la entidad con algunos usuarios de relevancia frente al logro de los objetivos.</v>
          </cell>
          <cell r="P13" t="str">
            <v>Moderado</v>
          </cell>
        </row>
        <row r="14">
          <cell r="J14" t="str">
            <v>MEDIA - LEVE</v>
          </cell>
          <cell r="K14" t="str">
            <v>MODERADO</v>
          </cell>
          <cell r="O14" t="str">
            <v>El riesgo afecta la imagen de la entidad con efecto publicitario sostenido a nivel de sector administrativo o distrital</v>
          </cell>
          <cell r="P14" t="str">
            <v>Mayor</v>
          </cell>
        </row>
        <row r="15">
          <cell r="J15" t="str">
            <v>MEDIA - MENOR</v>
          </cell>
          <cell r="K15" t="str">
            <v>MODERADO</v>
          </cell>
          <cell r="O15" t="str">
            <v>El riesgo afecta la imagen de la entidad a nivel nacional, con efecto publicitario sostenido a nivel país</v>
          </cell>
          <cell r="P15" t="str">
            <v>Catastrófico</v>
          </cell>
        </row>
        <row r="16">
          <cell r="J16" t="str">
            <v>MEDIA - MODERADO</v>
          </cell>
          <cell r="K16" t="str">
            <v>MODERADO</v>
          </cell>
        </row>
        <row r="17">
          <cell r="J17" t="str">
            <v>MEDIA - MAYOR</v>
          </cell>
          <cell r="K17" t="str">
            <v>ALTO</v>
          </cell>
        </row>
        <row r="18">
          <cell r="J18" t="str">
            <v>MEDIA - CATASTRÓFICO</v>
          </cell>
          <cell r="K18" t="str">
            <v>EXTREMO</v>
          </cell>
        </row>
        <row r="19">
          <cell r="J19" t="str">
            <v>ALTA - LEVE</v>
          </cell>
          <cell r="K19" t="str">
            <v>MODERADO</v>
          </cell>
        </row>
        <row r="20">
          <cell r="J20" t="str">
            <v>ALTA - MENOR</v>
          </cell>
          <cell r="K20" t="str">
            <v>MODERADO</v>
          </cell>
        </row>
        <row r="21">
          <cell r="J21" t="str">
            <v>ALTA - MODERADO</v>
          </cell>
          <cell r="K21" t="str">
            <v>ALTO</v>
          </cell>
        </row>
        <row r="22">
          <cell r="J22" t="str">
            <v>ALTA - MAYOR</v>
          </cell>
          <cell r="K22" t="str">
            <v>ALTO</v>
          </cell>
        </row>
        <row r="23">
          <cell r="J23" t="str">
            <v>ALTA - CATASTRÓFICO</v>
          </cell>
          <cell r="K23" t="str">
            <v>EXTREMO</v>
          </cell>
        </row>
        <row r="24">
          <cell r="J24" t="str">
            <v>MUY ALTA - LEVE</v>
          </cell>
          <cell r="K24" t="str">
            <v>ALTO</v>
          </cell>
        </row>
        <row r="25">
          <cell r="J25" t="str">
            <v>MUY ALTA - MENOR</v>
          </cell>
          <cell r="K25" t="str">
            <v>ALTO</v>
          </cell>
        </row>
        <row r="26">
          <cell r="J26" t="str">
            <v>MUY ALTA - MODERADO</v>
          </cell>
          <cell r="K26" t="str">
            <v>ALTO</v>
          </cell>
        </row>
        <row r="27">
          <cell r="J27" t="str">
            <v>MUY ALTA - MAYOR</v>
          </cell>
          <cell r="K27" t="str">
            <v>ALTO</v>
          </cell>
        </row>
        <row r="28">
          <cell r="J28" t="str">
            <v>MUY ALTA - CATASTRÓFICO</v>
          </cell>
          <cell r="K28" t="str">
            <v>EXTREMO</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DE CAMBIOS"/>
      <sheetName val="Riesgos Gestión #1"/>
      <sheetName val="Riesgos Gestión #2"/>
      <sheetName val="Datos"/>
      <sheetName val="Instructivo"/>
    </sheetNames>
    <sheetDataSet>
      <sheetData sheetId="0" refreshError="1"/>
      <sheetData sheetId="1"/>
      <sheetData sheetId="2"/>
      <sheetData sheetId="3">
        <row r="4">
          <cell r="J4" t="str">
            <v>MUY BAJA - LEVE</v>
          </cell>
          <cell r="K4" t="str">
            <v>BAJO</v>
          </cell>
          <cell r="O4" t="str">
            <v>Afectación Menor o igual a 700 SMLMV</v>
          </cell>
          <cell r="P4" t="str">
            <v>Leve</v>
          </cell>
        </row>
        <row r="5">
          <cell r="J5" t="str">
            <v>MUY BAJA - MENOR</v>
          </cell>
          <cell r="K5" t="str">
            <v>BAJO</v>
          </cell>
          <cell r="O5" t="str">
            <v>Afectación mayor a 700 y menor o igual a 1500 SMLMV</v>
          </cell>
          <cell r="P5" t="str">
            <v>Menor</v>
          </cell>
        </row>
        <row r="6">
          <cell r="J6" t="str">
            <v>MUY BAJA - MODERADO</v>
          </cell>
          <cell r="K6" t="str">
            <v>MODERADO</v>
          </cell>
          <cell r="O6" t="str">
            <v>Afectación mayor a 1500 y menor o igual a 2300 SMLMV</v>
          </cell>
          <cell r="P6" t="str">
            <v>Moderado</v>
          </cell>
        </row>
        <row r="7">
          <cell r="J7" t="str">
            <v>MUY BAJA - MAYOR</v>
          </cell>
          <cell r="K7" t="str">
            <v>ALTO</v>
          </cell>
          <cell r="O7" t="str">
            <v>Afectación mayor a 2300 y menor o igual a 3000 SMLMV</v>
          </cell>
          <cell r="P7" t="str">
            <v>Mayor</v>
          </cell>
        </row>
        <row r="8">
          <cell r="J8" t="str">
            <v>MUY BAJA - CATASTRÓFICO</v>
          </cell>
          <cell r="K8" t="str">
            <v>EXTREMO</v>
          </cell>
          <cell r="O8" t="str">
            <v xml:space="preserve">Afectación mayor a 3000 SMLMV </v>
          </cell>
          <cell r="P8" t="str">
            <v>Catastrófico</v>
          </cell>
        </row>
        <row r="9">
          <cell r="J9" t="str">
            <v>BAJA - LEVE</v>
          </cell>
          <cell r="K9" t="str">
            <v>BAJO</v>
          </cell>
        </row>
        <row r="10">
          <cell r="J10" t="str">
            <v>BAJA - MENOR</v>
          </cell>
          <cell r="K10" t="str">
            <v>MODERADO</v>
          </cell>
          <cell r="O10" t="str">
            <v>AFECTACIÓN REPUTACIONAL</v>
          </cell>
        </row>
        <row r="11">
          <cell r="J11" t="str">
            <v>BAJA - MODERADO</v>
          </cell>
          <cell r="K11" t="str">
            <v>MODERADO</v>
          </cell>
          <cell r="O11" t="str">
            <v>El riesgo afecta la imagen de algún área de la organización.</v>
          </cell>
          <cell r="P11" t="str">
            <v>Leve</v>
          </cell>
        </row>
        <row r="12">
          <cell r="J12" t="str">
            <v>BAJA - MAYOR</v>
          </cell>
          <cell r="K12" t="str">
            <v>ALTO</v>
          </cell>
          <cell r="O12" t="str">
            <v>El riesgo afecta la imagen de la entidad internamente, de conocimiento general nivel interno, de junta directiva y/o de proveedores</v>
          </cell>
          <cell r="P12" t="str">
            <v>Menor</v>
          </cell>
        </row>
        <row r="13">
          <cell r="J13" t="str">
            <v>BAJA - CATASTRÓFICO</v>
          </cell>
          <cell r="K13" t="str">
            <v>EXTREMO</v>
          </cell>
          <cell r="O13" t="str">
            <v>El riesgo afecta la imagen de la entidad con algunos usuarios de relevancia frente al logro de los objetivos.</v>
          </cell>
          <cell r="P13" t="str">
            <v>Moderado</v>
          </cell>
        </row>
        <row r="14">
          <cell r="J14" t="str">
            <v>MEDIA - LEVE</v>
          </cell>
          <cell r="K14" t="str">
            <v>MODERADO</v>
          </cell>
          <cell r="O14" t="str">
            <v>El riesgo afecta la imagen de la entidad con efecto publicitario sostenido a nivel de sector administrativo o distrital</v>
          </cell>
          <cell r="P14" t="str">
            <v>Mayor</v>
          </cell>
        </row>
        <row r="15">
          <cell r="J15" t="str">
            <v>MEDIA - MENOR</v>
          </cell>
          <cell r="K15" t="str">
            <v>MODERADO</v>
          </cell>
          <cell r="O15" t="str">
            <v>El riesgo afecta la imagen de la entidad a nivel nacional, con efecto publicitario sostenido a nivel país</v>
          </cell>
          <cell r="P15" t="str">
            <v>Catastrófico</v>
          </cell>
        </row>
        <row r="16">
          <cell r="J16" t="str">
            <v>MEDIA - MODERADO</v>
          </cell>
          <cell r="K16" t="str">
            <v>MODERADO</v>
          </cell>
        </row>
        <row r="17">
          <cell r="J17" t="str">
            <v>MEDIA - MAYOR</v>
          </cell>
          <cell r="K17" t="str">
            <v>ALTO</v>
          </cell>
        </row>
        <row r="18">
          <cell r="J18" t="str">
            <v>MEDIA - CATASTRÓFICO</v>
          </cell>
          <cell r="K18" t="str">
            <v>EXTREMO</v>
          </cell>
        </row>
        <row r="19">
          <cell r="J19" t="str">
            <v>ALTA - LEVE</v>
          </cell>
          <cell r="K19" t="str">
            <v>MODERADO</v>
          </cell>
        </row>
        <row r="20">
          <cell r="J20" t="str">
            <v>ALTA - MENOR</v>
          </cell>
          <cell r="K20" t="str">
            <v>MODERADO</v>
          </cell>
        </row>
        <row r="21">
          <cell r="J21" t="str">
            <v>ALTA - MODERADO</v>
          </cell>
          <cell r="K21" t="str">
            <v>ALTO</v>
          </cell>
        </row>
        <row r="22">
          <cell r="J22" t="str">
            <v>ALTA - MAYOR</v>
          </cell>
          <cell r="K22" t="str">
            <v>ALTO</v>
          </cell>
        </row>
        <row r="23">
          <cell r="J23" t="str">
            <v>ALTA - CATASTRÓFICO</v>
          </cell>
          <cell r="K23" t="str">
            <v>EXTREMO</v>
          </cell>
        </row>
        <row r="24">
          <cell r="J24" t="str">
            <v>MUY ALTA - LEVE</v>
          </cell>
          <cell r="K24" t="str">
            <v>ALTO</v>
          </cell>
        </row>
        <row r="25">
          <cell r="J25" t="str">
            <v>MUY ALTA - MENOR</v>
          </cell>
          <cell r="K25" t="str">
            <v>ALTO</v>
          </cell>
        </row>
        <row r="26">
          <cell r="J26" t="str">
            <v>MUY ALTA - MODERADO</v>
          </cell>
          <cell r="K26" t="str">
            <v>ALTO</v>
          </cell>
        </row>
        <row r="27">
          <cell r="J27" t="str">
            <v>MUY ALTA - MAYOR</v>
          </cell>
          <cell r="K27" t="str">
            <v>ALTO</v>
          </cell>
        </row>
        <row r="28">
          <cell r="J28" t="str">
            <v>MUY ALTA - CATASTRÓFICO</v>
          </cell>
          <cell r="K28" t="str">
            <v>EXTREMO</v>
          </cell>
        </row>
      </sheetData>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DE CAMBIOS"/>
      <sheetName val="Riesgos Gestión #1"/>
      <sheetName val="Riesgos Gestión# 2"/>
      <sheetName val="Datos"/>
      <sheetName val="Instructivo"/>
    </sheetNames>
    <sheetDataSet>
      <sheetData sheetId="0" refreshError="1"/>
      <sheetData sheetId="1"/>
      <sheetData sheetId="2"/>
      <sheetData sheetId="3">
        <row r="4">
          <cell r="J4" t="str">
            <v>MUY BAJA - LEVE</v>
          </cell>
          <cell r="K4" t="str">
            <v>BAJO</v>
          </cell>
          <cell r="O4" t="str">
            <v>Afectación Menor o igual a 700 SMLMV</v>
          </cell>
          <cell r="P4" t="str">
            <v>Leve</v>
          </cell>
        </row>
        <row r="5">
          <cell r="J5" t="str">
            <v>MUY BAJA - MENOR</v>
          </cell>
          <cell r="K5" t="str">
            <v>BAJO</v>
          </cell>
          <cell r="O5" t="str">
            <v>Afectación mayor a 700 y menor o igual a 1500 SMLMV</v>
          </cell>
          <cell r="P5" t="str">
            <v>Menor</v>
          </cell>
        </row>
        <row r="6">
          <cell r="J6" t="str">
            <v>MUY BAJA - MODERADO</v>
          </cell>
          <cell r="K6" t="str">
            <v>MODERADO</v>
          </cell>
          <cell r="O6" t="str">
            <v>Afectación mayor a 1500 y menor o igual a 2300 SMLMV</v>
          </cell>
          <cell r="P6" t="str">
            <v>Moderado</v>
          </cell>
        </row>
        <row r="7">
          <cell r="J7" t="str">
            <v>MUY BAJA - MAYOR</v>
          </cell>
          <cell r="K7" t="str">
            <v>ALTO</v>
          </cell>
          <cell r="O7" t="str">
            <v>Afectación mayor a 2300 y menor o igual a 3000 SMLMV</v>
          </cell>
          <cell r="P7" t="str">
            <v>Mayor</v>
          </cell>
        </row>
        <row r="8">
          <cell r="J8" t="str">
            <v>MUY BAJA - CATASTRÓFICO</v>
          </cell>
          <cell r="K8" t="str">
            <v>EXTREMO</v>
          </cell>
          <cell r="O8" t="str">
            <v xml:space="preserve">Afectación mayor a 3000 SMLMV </v>
          </cell>
          <cell r="P8" t="str">
            <v>Catastrófico</v>
          </cell>
        </row>
        <row r="9">
          <cell r="J9" t="str">
            <v>BAJA - LEVE</v>
          </cell>
          <cell r="K9" t="str">
            <v>BAJO</v>
          </cell>
        </row>
        <row r="10">
          <cell r="J10" t="str">
            <v>BAJA - MENOR</v>
          </cell>
          <cell r="K10" t="str">
            <v>MODERADO</v>
          </cell>
          <cell r="O10" t="str">
            <v>AFECTACIÓN REPUTACIONAL</v>
          </cell>
        </row>
        <row r="11">
          <cell r="J11" t="str">
            <v>BAJA - MODERADO</v>
          </cell>
          <cell r="K11" t="str">
            <v>MODERADO</v>
          </cell>
          <cell r="O11" t="str">
            <v>El riesgo afecta la imagen de algún área de la organización.</v>
          </cell>
          <cell r="P11" t="str">
            <v>Leve</v>
          </cell>
        </row>
        <row r="12">
          <cell r="J12" t="str">
            <v>BAJA - MAYOR</v>
          </cell>
          <cell r="K12" t="str">
            <v>ALTO</v>
          </cell>
          <cell r="O12" t="str">
            <v>El riesgo afecta la imagen de la entidad internamente, de conocimiento general nivel interno, de junta directiva y/o de proveedores</v>
          </cell>
          <cell r="P12" t="str">
            <v>Menor</v>
          </cell>
        </row>
        <row r="13">
          <cell r="J13" t="str">
            <v>BAJA - CATASTRÓFICO</v>
          </cell>
          <cell r="K13" t="str">
            <v>EXTREMO</v>
          </cell>
          <cell r="O13" t="str">
            <v>El riesgo afecta la imagen de la entidad con algunos usuarios de relevancia frente al logro de los objetivos.</v>
          </cell>
          <cell r="P13" t="str">
            <v>Moderado</v>
          </cell>
        </row>
        <row r="14">
          <cell r="J14" t="str">
            <v>MEDIA - LEVE</v>
          </cell>
          <cell r="K14" t="str">
            <v>MODERADO</v>
          </cell>
          <cell r="O14" t="str">
            <v>El riesgo afecta la imagen de la entidad con efecto publicitario sostenido a nivel de sector administrativo o distrital</v>
          </cell>
          <cell r="P14" t="str">
            <v>Mayor</v>
          </cell>
        </row>
        <row r="15">
          <cell r="J15" t="str">
            <v>MEDIA - MENOR</v>
          </cell>
          <cell r="K15" t="str">
            <v>MODERADO</v>
          </cell>
          <cell r="O15" t="str">
            <v>El riesgo afecta la imagen de la entidad a nivel nacional, con efecto publicitario sostenido a nivel país</v>
          </cell>
          <cell r="P15" t="str">
            <v>Catastrófico</v>
          </cell>
        </row>
        <row r="16">
          <cell r="J16" t="str">
            <v>MEDIA - MODERADO</v>
          </cell>
          <cell r="K16" t="str">
            <v>MODERADO</v>
          </cell>
        </row>
        <row r="17">
          <cell r="J17" t="str">
            <v>MEDIA - MAYOR</v>
          </cell>
          <cell r="K17" t="str">
            <v>ALTO</v>
          </cell>
        </row>
        <row r="18">
          <cell r="J18" t="str">
            <v>MEDIA - CATASTRÓFICO</v>
          </cell>
          <cell r="K18" t="str">
            <v>EXTREMO</v>
          </cell>
        </row>
        <row r="19">
          <cell r="J19" t="str">
            <v>ALTA - LEVE</v>
          </cell>
          <cell r="K19" t="str">
            <v>MODERADO</v>
          </cell>
        </row>
        <row r="20">
          <cell r="J20" t="str">
            <v>ALTA - MENOR</v>
          </cell>
          <cell r="K20" t="str">
            <v>MODERADO</v>
          </cell>
        </row>
        <row r="21">
          <cell r="J21" t="str">
            <v>ALTA - MODERADO</v>
          </cell>
          <cell r="K21" t="str">
            <v>ALTO</v>
          </cell>
        </row>
        <row r="22">
          <cell r="J22" t="str">
            <v>ALTA - MAYOR</v>
          </cell>
          <cell r="K22" t="str">
            <v>ALTO</v>
          </cell>
        </row>
        <row r="23">
          <cell r="J23" t="str">
            <v>ALTA - CATASTRÓFICO</v>
          </cell>
          <cell r="K23" t="str">
            <v>EXTREMO</v>
          </cell>
        </row>
        <row r="24">
          <cell r="J24" t="str">
            <v>MUY ALTA - LEVE</v>
          </cell>
          <cell r="K24" t="str">
            <v>ALTO</v>
          </cell>
        </row>
        <row r="25">
          <cell r="J25" t="str">
            <v>MUY ALTA - MENOR</v>
          </cell>
          <cell r="K25" t="str">
            <v>ALTO</v>
          </cell>
        </row>
        <row r="26">
          <cell r="J26" t="str">
            <v>MUY ALTA - MODERADO</v>
          </cell>
          <cell r="K26" t="str">
            <v>ALTO</v>
          </cell>
        </row>
        <row r="27">
          <cell r="J27" t="str">
            <v>MUY ALTA - MAYOR</v>
          </cell>
          <cell r="K27" t="str">
            <v>ALTO</v>
          </cell>
        </row>
        <row r="28">
          <cell r="J28" t="str">
            <v>MUY ALTA - CATASTRÓFICO</v>
          </cell>
          <cell r="K28" t="str">
            <v>EXTREMO</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DE CAMBIOS"/>
      <sheetName val="Riesgos Gestión #1"/>
      <sheetName val="Riesgos Gestión #2"/>
      <sheetName val="Datos"/>
      <sheetName val="Instructivo"/>
    </sheetNames>
    <sheetDataSet>
      <sheetData sheetId="0" refreshError="1"/>
      <sheetData sheetId="1"/>
      <sheetData sheetId="2"/>
      <sheetData sheetId="3">
        <row r="4">
          <cell r="J4" t="str">
            <v>MUY BAJA - LEVE</v>
          </cell>
          <cell r="K4" t="str">
            <v>BAJO</v>
          </cell>
          <cell r="O4" t="str">
            <v>Afectación Menor o igual a 700 SMLMV</v>
          </cell>
          <cell r="P4" t="str">
            <v>Leve</v>
          </cell>
        </row>
        <row r="5">
          <cell r="J5" t="str">
            <v>MUY BAJA - MENOR</v>
          </cell>
          <cell r="K5" t="str">
            <v>BAJO</v>
          </cell>
          <cell r="O5" t="str">
            <v>Afectación mayor a 700 y menor o igual a 1500 SMLMV</v>
          </cell>
          <cell r="P5" t="str">
            <v>Menor</v>
          </cell>
        </row>
        <row r="6">
          <cell r="J6" t="str">
            <v>MUY BAJA - MODERADO</v>
          </cell>
          <cell r="K6" t="str">
            <v>MODERADO</v>
          </cell>
          <cell r="O6" t="str">
            <v>Afectación mayor a 1500 y menor o igual a 2300 SMLMV</v>
          </cell>
          <cell r="P6" t="str">
            <v>Moderado</v>
          </cell>
        </row>
        <row r="7">
          <cell r="J7" t="str">
            <v>MUY BAJA - MAYOR</v>
          </cell>
          <cell r="K7" t="str">
            <v>ALTO</v>
          </cell>
          <cell r="O7" t="str">
            <v>Afectación mayor a 2300 y menor o igual a 3000 SMLMV</v>
          </cell>
          <cell r="P7" t="str">
            <v>Mayor</v>
          </cell>
        </row>
        <row r="8">
          <cell r="J8" t="str">
            <v>MUY BAJA - CATASTRÓFICO</v>
          </cell>
          <cell r="K8" t="str">
            <v>EXTREMO</v>
          </cell>
          <cell r="O8" t="str">
            <v xml:space="preserve">Afectación mayor a 3000 SMLMV </v>
          </cell>
          <cell r="P8" t="str">
            <v>Catastrófico</v>
          </cell>
        </row>
        <row r="9">
          <cell r="J9" t="str">
            <v>BAJA - LEVE</v>
          </cell>
          <cell r="K9" t="str">
            <v>BAJO</v>
          </cell>
        </row>
        <row r="10">
          <cell r="J10" t="str">
            <v>BAJA - MENOR</v>
          </cell>
          <cell r="K10" t="str">
            <v>MODERADO</v>
          </cell>
          <cell r="O10" t="str">
            <v>AFECTACIÓN REPUTACIONAL</v>
          </cell>
        </row>
        <row r="11">
          <cell r="J11" t="str">
            <v>BAJA - MODERADO</v>
          </cell>
          <cell r="K11" t="str">
            <v>MODERADO</v>
          </cell>
          <cell r="O11" t="str">
            <v>El riesgo afecta la imagen de algún área de la organización.</v>
          </cell>
          <cell r="P11" t="str">
            <v>Leve</v>
          </cell>
        </row>
        <row r="12">
          <cell r="J12" t="str">
            <v>BAJA - MAYOR</v>
          </cell>
          <cell r="K12" t="str">
            <v>ALTO</v>
          </cell>
          <cell r="O12" t="str">
            <v>El riesgo afecta la imagen de la entidad internamente, de conocimiento general nivel interno, de junta directiva y/o de proveedores</v>
          </cell>
          <cell r="P12" t="str">
            <v>Menor</v>
          </cell>
        </row>
        <row r="13">
          <cell r="J13" t="str">
            <v>BAJA - CATASTRÓFICO</v>
          </cell>
          <cell r="K13" t="str">
            <v>EXTREMO</v>
          </cell>
          <cell r="O13" t="str">
            <v>El riesgo afecta la imagen de la entidad con algunos usuarios de relevancia frente al logro de los objetivos.</v>
          </cell>
          <cell r="P13" t="str">
            <v>Moderado</v>
          </cell>
        </row>
        <row r="14">
          <cell r="J14" t="str">
            <v>MEDIA - LEVE</v>
          </cell>
          <cell r="K14" t="str">
            <v>MODERADO</v>
          </cell>
          <cell r="O14" t="str">
            <v>El riesgo afecta la imagen de la entidad con efecto publicitario sostenido a nivel de sector administrativo o distrital</v>
          </cell>
          <cell r="P14" t="str">
            <v>Mayor</v>
          </cell>
        </row>
        <row r="15">
          <cell r="J15" t="str">
            <v>MEDIA - MENOR</v>
          </cell>
          <cell r="K15" t="str">
            <v>MODERADO</v>
          </cell>
          <cell r="O15" t="str">
            <v>El riesgo afecta la imagen de la entidad a nivel nacional, con efecto publicitario sostenido a nivel país</v>
          </cell>
          <cell r="P15" t="str">
            <v>Catastrófico</v>
          </cell>
        </row>
        <row r="16">
          <cell r="J16" t="str">
            <v>MEDIA - MODERADO</v>
          </cell>
          <cell r="K16" t="str">
            <v>MODERADO</v>
          </cell>
        </row>
        <row r="17">
          <cell r="J17" t="str">
            <v>MEDIA - MAYOR</v>
          </cell>
          <cell r="K17" t="str">
            <v>ALTO</v>
          </cell>
        </row>
        <row r="18">
          <cell r="J18" t="str">
            <v>MEDIA - CATASTRÓFICO</v>
          </cell>
          <cell r="K18" t="str">
            <v>EXTREMO</v>
          </cell>
        </row>
        <row r="19">
          <cell r="J19" t="str">
            <v>ALTA - LEVE</v>
          </cell>
          <cell r="K19" t="str">
            <v>MODERADO</v>
          </cell>
        </row>
        <row r="20">
          <cell r="J20" t="str">
            <v>ALTA - MENOR</v>
          </cell>
          <cell r="K20" t="str">
            <v>MODERADO</v>
          </cell>
        </row>
        <row r="21">
          <cell r="J21" t="str">
            <v>ALTA - MODERADO</v>
          </cell>
          <cell r="K21" t="str">
            <v>ALTO</v>
          </cell>
        </row>
        <row r="22">
          <cell r="J22" t="str">
            <v>ALTA - MAYOR</v>
          </cell>
          <cell r="K22" t="str">
            <v>ALTO</v>
          </cell>
        </row>
        <row r="23">
          <cell r="J23" t="str">
            <v>ALTA - CATASTRÓFICO</v>
          </cell>
          <cell r="K23" t="str">
            <v>EXTREMO</v>
          </cell>
        </row>
        <row r="24">
          <cell r="J24" t="str">
            <v>MUY ALTA - LEVE</v>
          </cell>
          <cell r="K24" t="str">
            <v>ALTO</v>
          </cell>
        </row>
        <row r="25">
          <cell r="J25" t="str">
            <v>MUY ALTA - MENOR</v>
          </cell>
          <cell r="K25" t="str">
            <v>ALTO</v>
          </cell>
        </row>
        <row r="26">
          <cell r="J26" t="str">
            <v>MUY ALTA - MODERADO</v>
          </cell>
          <cell r="K26" t="str">
            <v>ALTO</v>
          </cell>
        </row>
        <row r="27">
          <cell r="J27" t="str">
            <v>MUY ALTA - MAYOR</v>
          </cell>
          <cell r="K27" t="str">
            <v>ALTO</v>
          </cell>
        </row>
        <row r="28">
          <cell r="J28" t="str">
            <v>MUY ALTA - CATASTRÓFICO</v>
          </cell>
          <cell r="K28" t="str">
            <v>EXTREMO</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DE CAMBIOS"/>
      <sheetName val="Riesgos Gestión #1"/>
      <sheetName val="Riesgos Gestión #2"/>
      <sheetName val="Riesgos Gestión #3"/>
      <sheetName val="Datos"/>
      <sheetName val="Instructivo"/>
    </sheetNames>
    <sheetDataSet>
      <sheetData sheetId="0" refreshError="1"/>
      <sheetData sheetId="1"/>
      <sheetData sheetId="2"/>
      <sheetData sheetId="3"/>
      <sheetData sheetId="4">
        <row r="4">
          <cell r="J4" t="str">
            <v>MUY BAJA - LEVE</v>
          </cell>
          <cell r="K4" t="str">
            <v>BAJO</v>
          </cell>
          <cell r="O4" t="str">
            <v>Afectación Menor o igual a 700 SMLMV</v>
          </cell>
          <cell r="P4" t="str">
            <v>Leve</v>
          </cell>
        </row>
        <row r="5">
          <cell r="J5" t="str">
            <v>MUY BAJA - MENOR</v>
          </cell>
          <cell r="K5" t="str">
            <v>BAJO</v>
          </cell>
          <cell r="O5" t="str">
            <v>Afectación mayor a 700 y menor o igual a 1500 SMLMV</v>
          </cell>
          <cell r="P5" t="str">
            <v>Menor</v>
          </cell>
        </row>
        <row r="6">
          <cell r="J6" t="str">
            <v>MUY BAJA - MODERADO</v>
          </cell>
          <cell r="K6" t="str">
            <v>MODERADO</v>
          </cell>
          <cell r="O6" t="str">
            <v>Afectación mayor a 1500 y menor o igual a 2300 SMLMV</v>
          </cell>
          <cell r="P6" t="str">
            <v>Moderado</v>
          </cell>
        </row>
        <row r="7">
          <cell r="J7" t="str">
            <v>MUY BAJA - MAYOR</v>
          </cell>
          <cell r="K7" t="str">
            <v>ALTO</v>
          </cell>
          <cell r="O7" t="str">
            <v>Afectación mayor a 2300 y menor o igual a 3000 SMLMV</v>
          </cell>
          <cell r="P7" t="str">
            <v>Mayor</v>
          </cell>
        </row>
        <row r="8">
          <cell r="J8" t="str">
            <v>MUY BAJA - CATASTRÓFICO</v>
          </cell>
          <cell r="K8" t="str">
            <v>EXTREMO</v>
          </cell>
          <cell r="O8" t="str">
            <v xml:space="preserve">Afectación mayor a 3000 SMLMV </v>
          </cell>
          <cell r="P8" t="str">
            <v>Catastrófico</v>
          </cell>
        </row>
        <row r="9">
          <cell r="J9" t="str">
            <v>BAJA - LEVE</v>
          </cell>
          <cell r="K9" t="str">
            <v>BAJO</v>
          </cell>
        </row>
        <row r="10">
          <cell r="J10" t="str">
            <v>BAJA - MENOR</v>
          </cell>
          <cell r="K10" t="str">
            <v>MODERADO</v>
          </cell>
          <cell r="O10" t="str">
            <v>AFECTACIÓN REPUTACIONAL</v>
          </cell>
        </row>
        <row r="11">
          <cell r="J11" t="str">
            <v>BAJA - MODERADO</v>
          </cell>
          <cell r="K11" t="str">
            <v>MODERADO</v>
          </cell>
          <cell r="O11" t="str">
            <v>El riesgo afecta la imagen de algún área de la organización.</v>
          </cell>
          <cell r="P11" t="str">
            <v>Leve</v>
          </cell>
        </row>
        <row r="12">
          <cell r="J12" t="str">
            <v>BAJA - MAYOR</v>
          </cell>
          <cell r="K12" t="str">
            <v>ALTO</v>
          </cell>
          <cell r="O12" t="str">
            <v>El riesgo afecta la imagen de la entidad internamente, de conocimiento general nivel interno, de junta directiva y/o de proveedores</v>
          </cell>
          <cell r="P12" t="str">
            <v>Menor</v>
          </cell>
        </row>
        <row r="13">
          <cell r="J13" t="str">
            <v>BAJA - CATASTRÓFICO</v>
          </cell>
          <cell r="K13" t="str">
            <v>EXTREMO</v>
          </cell>
          <cell r="O13" t="str">
            <v>El riesgo afecta la imagen de la entidad con algunos usuarios de relevancia frente al logro de los objetivos.</v>
          </cell>
          <cell r="P13" t="str">
            <v>Moderado</v>
          </cell>
        </row>
        <row r="14">
          <cell r="J14" t="str">
            <v>MEDIA - LEVE</v>
          </cell>
          <cell r="K14" t="str">
            <v>MODERADO</v>
          </cell>
          <cell r="O14" t="str">
            <v>El riesgo afecta la imagen de la entidad con efecto publicitario sostenido a nivel de sector administrativo o distrital</v>
          </cell>
          <cell r="P14" t="str">
            <v>Mayor</v>
          </cell>
        </row>
        <row r="15">
          <cell r="J15" t="str">
            <v>MEDIA - MENOR</v>
          </cell>
          <cell r="K15" t="str">
            <v>MODERADO</v>
          </cell>
          <cell r="O15" t="str">
            <v>El riesgo afecta la imagen de la entidad a nivel nacional, con efecto publicitario sostenido a nivel país</v>
          </cell>
          <cell r="P15" t="str">
            <v>Catastrófico</v>
          </cell>
        </row>
        <row r="16">
          <cell r="J16" t="str">
            <v>MEDIA - MODERADO</v>
          </cell>
          <cell r="K16" t="str">
            <v>MODERADO</v>
          </cell>
        </row>
        <row r="17">
          <cell r="J17" t="str">
            <v>MEDIA - MAYOR</v>
          </cell>
          <cell r="K17" t="str">
            <v>ALTO</v>
          </cell>
        </row>
        <row r="18">
          <cell r="J18" t="str">
            <v>MEDIA - CATASTRÓFICO</v>
          </cell>
          <cell r="K18" t="str">
            <v>EXTREMO</v>
          </cell>
        </row>
        <row r="19">
          <cell r="J19" t="str">
            <v>ALTA - LEVE</v>
          </cell>
          <cell r="K19" t="str">
            <v>MODERADO</v>
          </cell>
        </row>
        <row r="20">
          <cell r="J20" t="str">
            <v>ALTA - MENOR</v>
          </cell>
          <cell r="K20" t="str">
            <v>MODERADO</v>
          </cell>
        </row>
        <row r="21">
          <cell r="J21" t="str">
            <v>ALTA - MODERADO</v>
          </cell>
          <cell r="K21" t="str">
            <v>ALTO</v>
          </cell>
        </row>
        <row r="22">
          <cell r="J22" t="str">
            <v>ALTA - MAYOR</v>
          </cell>
          <cell r="K22" t="str">
            <v>ALTO</v>
          </cell>
        </row>
        <row r="23">
          <cell r="J23" t="str">
            <v>ALTA - CATASTRÓFICO</v>
          </cell>
          <cell r="K23" t="str">
            <v>EXTREMO</v>
          </cell>
        </row>
        <row r="24">
          <cell r="J24" t="str">
            <v>MUY ALTA - LEVE</v>
          </cell>
          <cell r="K24" t="str">
            <v>ALTO</v>
          </cell>
        </row>
        <row r="25">
          <cell r="J25" t="str">
            <v>MUY ALTA - MENOR</v>
          </cell>
          <cell r="K25" t="str">
            <v>ALTO</v>
          </cell>
        </row>
        <row r="26">
          <cell r="J26" t="str">
            <v>MUY ALTA - MODERADO</v>
          </cell>
          <cell r="K26" t="str">
            <v>ALTO</v>
          </cell>
        </row>
        <row r="27">
          <cell r="J27" t="str">
            <v>MUY ALTA - MAYOR</v>
          </cell>
          <cell r="K27" t="str">
            <v>ALTO</v>
          </cell>
        </row>
        <row r="28">
          <cell r="J28" t="str">
            <v>MUY ALTA - CATASTRÓFICO</v>
          </cell>
          <cell r="K28" t="str">
            <v>EXTREMO</v>
          </cell>
        </row>
      </sheetData>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DE CAMBIOS"/>
      <sheetName val="Riesgos Gestión #1"/>
      <sheetName val="Riesgos Gestión #2"/>
      <sheetName val="Datos"/>
      <sheetName val="Instructivo"/>
    </sheetNames>
    <sheetDataSet>
      <sheetData sheetId="0" refreshError="1"/>
      <sheetData sheetId="1"/>
      <sheetData sheetId="2"/>
      <sheetData sheetId="3">
        <row r="4">
          <cell r="J4" t="str">
            <v>MUY BAJA - LEVE</v>
          </cell>
          <cell r="K4" t="str">
            <v>BAJO</v>
          </cell>
          <cell r="O4" t="str">
            <v>Afectación Menor o igual a 700 SMLMV</v>
          </cell>
          <cell r="P4" t="str">
            <v>Leve</v>
          </cell>
        </row>
        <row r="5">
          <cell r="J5" t="str">
            <v>MUY BAJA - MENOR</v>
          </cell>
          <cell r="K5" t="str">
            <v>BAJO</v>
          </cell>
          <cell r="O5" t="str">
            <v>Afectación mayor a 700 y menor o igual a 1500 SMLMV</v>
          </cell>
          <cell r="P5" t="str">
            <v>Menor</v>
          </cell>
        </row>
        <row r="6">
          <cell r="J6" t="str">
            <v>MUY BAJA - MODERADO</v>
          </cell>
          <cell r="K6" t="str">
            <v>MODERADO</v>
          </cell>
          <cell r="O6" t="str">
            <v>Afectación mayor a 1500 y menor o igual a 2300 SMLMV</v>
          </cell>
          <cell r="P6" t="str">
            <v>Moderado</v>
          </cell>
        </row>
        <row r="7">
          <cell r="J7" t="str">
            <v>MUY BAJA - MAYOR</v>
          </cell>
          <cell r="K7" t="str">
            <v>ALTO</v>
          </cell>
          <cell r="O7" t="str">
            <v>Afectación mayor a 2300 y menor o igual a 3000 SMLMV</v>
          </cell>
          <cell r="P7" t="str">
            <v>Mayor</v>
          </cell>
        </row>
        <row r="8">
          <cell r="J8" t="str">
            <v>MUY BAJA - CATASTRÓFICO</v>
          </cell>
          <cell r="K8" t="str">
            <v>EXTREMO</v>
          </cell>
          <cell r="O8" t="str">
            <v xml:space="preserve">Afectación mayor a 3000 SMLMV </v>
          </cell>
          <cell r="P8" t="str">
            <v>Catastrófico</v>
          </cell>
        </row>
        <row r="9">
          <cell r="J9" t="str">
            <v>BAJA - LEVE</v>
          </cell>
          <cell r="K9" t="str">
            <v>BAJO</v>
          </cell>
        </row>
        <row r="10">
          <cell r="J10" t="str">
            <v>BAJA - MENOR</v>
          </cell>
          <cell r="K10" t="str">
            <v>MODERADO</v>
          </cell>
          <cell r="O10" t="str">
            <v>AFECTACIÓN REPUTACIONAL</v>
          </cell>
        </row>
        <row r="11">
          <cell r="J11" t="str">
            <v>BAJA - MODERADO</v>
          </cell>
          <cell r="K11" t="str">
            <v>MODERADO</v>
          </cell>
          <cell r="O11" t="str">
            <v>El riesgo afecta la imagen de algún área de la organización.</v>
          </cell>
          <cell r="P11" t="str">
            <v>Leve</v>
          </cell>
        </row>
        <row r="12">
          <cell r="J12" t="str">
            <v>BAJA - MAYOR</v>
          </cell>
          <cell r="K12" t="str">
            <v>ALTO</v>
          </cell>
          <cell r="O12" t="str">
            <v>El riesgo afecta la imagen de la entidad internamente, de conocimiento general nivel interno, de junta directiva y/o de proveedores</v>
          </cell>
          <cell r="P12" t="str">
            <v>Menor</v>
          </cell>
        </row>
        <row r="13">
          <cell r="J13" t="str">
            <v>BAJA - CATASTRÓFICO</v>
          </cell>
          <cell r="K13" t="str">
            <v>EXTREMO</v>
          </cell>
          <cell r="O13" t="str">
            <v>El riesgo afecta la imagen de la entidad con algunos usuarios de relevancia frente al logro de los objetivos.</v>
          </cell>
          <cell r="P13" t="str">
            <v>Moderado</v>
          </cell>
        </row>
        <row r="14">
          <cell r="J14" t="str">
            <v>MEDIA - LEVE</v>
          </cell>
          <cell r="K14" t="str">
            <v>MODERADO</v>
          </cell>
          <cell r="O14" t="str">
            <v>El riesgo afecta la imagen de la entidad con efecto publicitario sostenido a nivel de sector administrativo o distrital</v>
          </cell>
          <cell r="P14" t="str">
            <v>Mayor</v>
          </cell>
        </row>
        <row r="15">
          <cell r="J15" t="str">
            <v>MEDIA - MENOR</v>
          </cell>
          <cell r="K15" t="str">
            <v>MODERADO</v>
          </cell>
          <cell r="O15" t="str">
            <v>El riesgo afecta la imagen de la entidad a nivel nacional, con efecto publicitario sostenido a nivel país</v>
          </cell>
          <cell r="P15" t="str">
            <v>Catastrófico</v>
          </cell>
        </row>
        <row r="16">
          <cell r="J16" t="str">
            <v>MEDIA - MODERADO</v>
          </cell>
          <cell r="K16" t="str">
            <v>MODERADO</v>
          </cell>
        </row>
        <row r="17">
          <cell r="J17" t="str">
            <v>MEDIA - MAYOR</v>
          </cell>
          <cell r="K17" t="str">
            <v>ALTO</v>
          </cell>
        </row>
        <row r="18">
          <cell r="J18" t="str">
            <v>MEDIA - CATASTRÓFICO</v>
          </cell>
          <cell r="K18" t="str">
            <v>EXTREMO</v>
          </cell>
        </row>
        <row r="19">
          <cell r="J19" t="str">
            <v>ALTA - LEVE</v>
          </cell>
          <cell r="K19" t="str">
            <v>MODERADO</v>
          </cell>
        </row>
        <row r="20">
          <cell r="J20" t="str">
            <v>ALTA - MENOR</v>
          </cell>
          <cell r="K20" t="str">
            <v>MODERADO</v>
          </cell>
        </row>
        <row r="21">
          <cell r="J21" t="str">
            <v>ALTA - MODERADO</v>
          </cell>
          <cell r="K21" t="str">
            <v>ALTO</v>
          </cell>
        </row>
        <row r="22">
          <cell r="J22" t="str">
            <v>ALTA - MAYOR</v>
          </cell>
          <cell r="K22" t="str">
            <v>ALTO</v>
          </cell>
        </row>
        <row r="23">
          <cell r="J23" t="str">
            <v>ALTA - CATASTRÓFICO</v>
          </cell>
          <cell r="K23" t="str">
            <v>EXTREMO</v>
          </cell>
        </row>
        <row r="24">
          <cell r="J24" t="str">
            <v>MUY ALTA - LEVE</v>
          </cell>
          <cell r="K24" t="str">
            <v>ALTO</v>
          </cell>
        </row>
        <row r="25">
          <cell r="J25" t="str">
            <v>MUY ALTA - MENOR</v>
          </cell>
          <cell r="K25" t="str">
            <v>ALTO</v>
          </cell>
        </row>
        <row r="26">
          <cell r="J26" t="str">
            <v>MUY ALTA - MODERADO</v>
          </cell>
          <cell r="K26" t="str">
            <v>ALTO</v>
          </cell>
        </row>
        <row r="27">
          <cell r="J27" t="str">
            <v>MUY ALTA - MAYOR</v>
          </cell>
          <cell r="K27" t="str">
            <v>ALTO</v>
          </cell>
        </row>
        <row r="28">
          <cell r="J28" t="str">
            <v>MUY ALTA - CATASTRÓFICO</v>
          </cell>
          <cell r="K28" t="str">
            <v>EXTREMO</v>
          </cell>
        </row>
      </sheetData>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DE CAMBIOS"/>
      <sheetName val="Riesgos Gestión #1"/>
      <sheetName val="Datos"/>
      <sheetName val="Instructivo"/>
    </sheetNames>
    <sheetDataSet>
      <sheetData sheetId="0"/>
      <sheetData sheetId="1"/>
      <sheetData sheetId="2">
        <row r="4">
          <cell r="J4" t="str">
            <v>MUY BAJA - LEVE</v>
          </cell>
          <cell r="K4" t="str">
            <v>BAJO</v>
          </cell>
          <cell r="O4" t="str">
            <v>Afectación Menor o igual a 700 SMLMV</v>
          </cell>
          <cell r="P4" t="str">
            <v>Leve</v>
          </cell>
        </row>
        <row r="5">
          <cell r="J5" t="str">
            <v>MUY BAJA - MENOR</v>
          </cell>
          <cell r="K5" t="str">
            <v>BAJO</v>
          </cell>
          <cell r="O5" t="str">
            <v>Afectación mayor a 700 y menor o igual a 1500 SMLMV</v>
          </cell>
          <cell r="P5" t="str">
            <v>Menor</v>
          </cell>
        </row>
        <row r="6">
          <cell r="J6" t="str">
            <v>MUY BAJA - MODERADO</v>
          </cell>
          <cell r="K6" t="str">
            <v>MODERADO</v>
          </cell>
          <cell r="O6" t="str">
            <v>Afectación mayor a 1500 y menor o igual a 2300 SMLMV</v>
          </cell>
          <cell r="P6" t="str">
            <v>Moderado</v>
          </cell>
        </row>
        <row r="7">
          <cell r="J7" t="str">
            <v>MUY BAJA - MAYOR</v>
          </cell>
          <cell r="K7" t="str">
            <v>ALTO</v>
          </cell>
          <cell r="O7" t="str">
            <v>Afectación mayor a 2300 y menor o igual a 3000 SMLMV</v>
          </cell>
          <cell r="P7" t="str">
            <v>Mayor</v>
          </cell>
        </row>
        <row r="8">
          <cell r="J8" t="str">
            <v>MUY BAJA - CATASTRÓFICO</v>
          </cell>
          <cell r="K8" t="str">
            <v>EXTREMO</v>
          </cell>
          <cell r="O8" t="str">
            <v xml:space="preserve">Afectación mayor a 3000 SMLMV </v>
          </cell>
          <cell r="P8" t="str">
            <v>Catastrófico</v>
          </cell>
        </row>
        <row r="9">
          <cell r="J9" t="str">
            <v>BAJA - LEVE</v>
          </cell>
          <cell r="K9" t="str">
            <v>BAJO</v>
          </cell>
        </row>
        <row r="10">
          <cell r="J10" t="str">
            <v>BAJA - MENOR</v>
          </cell>
          <cell r="K10" t="str">
            <v>MODERADO</v>
          </cell>
          <cell r="O10" t="str">
            <v>AFECTACIÓN REPUTACIONAL</v>
          </cell>
        </row>
        <row r="11">
          <cell r="J11" t="str">
            <v>BAJA - MODERADO</v>
          </cell>
          <cell r="K11" t="str">
            <v>MODERADO</v>
          </cell>
          <cell r="O11" t="str">
            <v>El riesgo afecta la imagen de algún área de la organización.</v>
          </cell>
          <cell r="P11" t="str">
            <v>Leve</v>
          </cell>
        </row>
        <row r="12">
          <cell r="J12" t="str">
            <v>BAJA - MAYOR</v>
          </cell>
          <cell r="K12" t="str">
            <v>ALTO</v>
          </cell>
          <cell r="O12" t="str">
            <v>El riesgo afecta la imagen de la entidad internamente, de conocimiento general nivel interno, de junta directiva y/o de proveedores</v>
          </cell>
          <cell r="P12" t="str">
            <v>Menor</v>
          </cell>
        </row>
        <row r="13">
          <cell r="J13" t="str">
            <v>BAJA - CATASTRÓFICO</v>
          </cell>
          <cell r="K13" t="str">
            <v>EXTREMO</v>
          </cell>
          <cell r="O13" t="str">
            <v>El riesgo afecta la imagen de la entidad con algunos usuarios de relevancia frente al logro de los objetivos.</v>
          </cell>
          <cell r="P13" t="str">
            <v>Moderado</v>
          </cell>
        </row>
        <row r="14">
          <cell r="J14" t="str">
            <v>MEDIA - LEVE</v>
          </cell>
          <cell r="K14" t="str">
            <v>MODERADO</v>
          </cell>
          <cell r="O14" t="str">
            <v>El riesgo afecta la imagen de la entidad con efecto publicitario sostenido a nivel de sector administrativo o distrital</v>
          </cell>
          <cell r="P14" t="str">
            <v>Mayor</v>
          </cell>
        </row>
        <row r="15">
          <cell r="J15" t="str">
            <v>MEDIA - MENOR</v>
          </cell>
          <cell r="K15" t="str">
            <v>MODERADO</v>
          </cell>
          <cell r="O15" t="str">
            <v>El riesgo afecta la imagen de la entidad a nivel nacional, con efecto publicitario sostenido a nivel país</v>
          </cell>
          <cell r="P15" t="str">
            <v>Catastrófico</v>
          </cell>
        </row>
        <row r="16">
          <cell r="J16" t="str">
            <v>MEDIA - MODERADO</v>
          </cell>
          <cell r="K16" t="str">
            <v>MODERADO</v>
          </cell>
        </row>
        <row r="17">
          <cell r="J17" t="str">
            <v>MEDIA - MAYOR</v>
          </cell>
          <cell r="K17" t="str">
            <v>ALTO</v>
          </cell>
        </row>
        <row r="18">
          <cell r="J18" t="str">
            <v>MEDIA - CATASTRÓFICO</v>
          </cell>
          <cell r="K18" t="str">
            <v>EXTREMO</v>
          </cell>
        </row>
        <row r="19">
          <cell r="J19" t="str">
            <v>ALTA - LEVE</v>
          </cell>
          <cell r="K19" t="str">
            <v>MODERADO</v>
          </cell>
        </row>
        <row r="20">
          <cell r="J20" t="str">
            <v>ALTA - MENOR</v>
          </cell>
          <cell r="K20" t="str">
            <v>MODERADO</v>
          </cell>
        </row>
        <row r="21">
          <cell r="J21" t="str">
            <v>ALTA - MODERADO</v>
          </cell>
          <cell r="K21" t="str">
            <v>ALTO</v>
          </cell>
        </row>
        <row r="22">
          <cell r="J22" t="str">
            <v>ALTA - MAYOR</v>
          </cell>
          <cell r="K22" t="str">
            <v>ALTO</v>
          </cell>
        </row>
        <row r="23">
          <cell r="J23" t="str">
            <v>ALTA - CATASTRÓFICO</v>
          </cell>
          <cell r="K23" t="str">
            <v>EXTREMO</v>
          </cell>
        </row>
        <row r="24">
          <cell r="J24" t="str">
            <v>MUY ALTA - LEVE</v>
          </cell>
          <cell r="K24" t="str">
            <v>ALTO</v>
          </cell>
        </row>
        <row r="25">
          <cell r="J25" t="str">
            <v>MUY ALTA - MENOR</v>
          </cell>
          <cell r="K25" t="str">
            <v>ALTO</v>
          </cell>
        </row>
        <row r="26">
          <cell r="J26" t="str">
            <v>MUY ALTA - MODERADO</v>
          </cell>
          <cell r="K26" t="str">
            <v>ALTO</v>
          </cell>
        </row>
        <row r="27">
          <cell r="J27" t="str">
            <v>MUY ALTA - MAYOR</v>
          </cell>
          <cell r="K27" t="str">
            <v>ALTO</v>
          </cell>
        </row>
        <row r="28">
          <cell r="J28" t="str">
            <v>MUY ALTA - CATASTRÓFICO</v>
          </cell>
          <cell r="K28" t="str">
            <v>EXTREMO</v>
          </cell>
        </row>
      </sheetData>
      <sheetData sheetId="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20.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76D2B-2D3C-45D6-9958-7BD0EB02C691}">
  <sheetPr>
    <tabColor theme="0"/>
    <pageSetUpPr fitToPage="1"/>
  </sheetPr>
  <dimension ref="A1:BA28"/>
  <sheetViews>
    <sheetView showGridLines="0" zoomScale="80" zoomScaleNormal="80" workbookViewId="0">
      <selection activeCell="D12" sqref="D12:M12"/>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88671875" customWidth="1"/>
    <col min="12" max="12" width="20.109375"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23" width="46.6640625" style="1" customWidth="1"/>
    <col min="24" max="24" width="15.88671875" style="1" customWidth="1"/>
    <col min="25" max="27" width="10.33203125" style="1" customWidth="1"/>
    <col min="28" max="28" width="6" style="1" customWidth="1"/>
    <col min="29" max="29" width="13.6640625" style="1" customWidth="1"/>
    <col min="30" max="30" width="7.5546875" style="1" customWidth="1"/>
    <col min="31" max="31" width="5.6640625" style="1" customWidth="1"/>
    <col min="32" max="32" width="22.33203125"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5546875" style="4" customWidth="1"/>
    <col min="41" max="41" width="1" style="4" customWidth="1"/>
    <col min="42" max="42" width="26.88671875" style="4" customWidth="1"/>
    <col min="43" max="43" width="26.6640625" style="1" customWidth="1"/>
    <col min="44" max="44" width="20.88671875" style="1" customWidth="1"/>
    <col min="45" max="45" width="1" customWidth="1"/>
    <col min="46" max="46" width="18.33203125" customWidth="1"/>
    <col min="47" max="50" width="45" customWidth="1"/>
    <col min="51" max="51" width="1" customWidth="1"/>
    <col min="52" max="53" width="4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4</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399999999999999"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7</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45828</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13" t="s">
        <v>10</v>
      </c>
      <c r="E10" s="214"/>
      <c r="F10" s="214"/>
      <c r="G10" s="214"/>
      <c r="H10" s="214"/>
      <c r="I10" s="214"/>
      <c r="J10" s="214"/>
      <c r="K10" s="214"/>
      <c r="L10" s="214"/>
      <c r="M10" s="215"/>
      <c r="N10" s="21"/>
      <c r="AN10" s="1"/>
      <c r="AO10" s="1"/>
      <c r="AP10" s="1"/>
    </row>
    <row r="11" spans="1:53" s="3" customFormat="1" ht="75" customHeight="1" x14ac:dyDescent="0.3">
      <c r="A11" s="194" t="s">
        <v>11</v>
      </c>
      <c r="B11" s="194"/>
      <c r="C11" s="194"/>
      <c r="D11" s="195" t="s">
        <v>12</v>
      </c>
      <c r="E11" s="214"/>
      <c r="F11" s="214"/>
      <c r="G11" s="214"/>
      <c r="H11" s="214"/>
      <c r="I11" s="214"/>
      <c r="J11" s="214"/>
      <c r="K11" s="214"/>
      <c r="L11" s="214"/>
      <c r="M11" s="215"/>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94" t="s">
        <v>13</v>
      </c>
      <c r="B12" s="194"/>
      <c r="C12" s="194"/>
      <c r="D12" s="195" t="s">
        <v>14</v>
      </c>
      <c r="E12" s="196"/>
      <c r="F12" s="196"/>
      <c r="G12" s="196"/>
      <c r="H12" s="196"/>
      <c r="I12" s="196"/>
      <c r="J12" s="196"/>
      <c r="K12" s="196"/>
      <c r="L12" s="196"/>
      <c r="M12" s="197"/>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66" t="s">
        <v>15</v>
      </c>
      <c r="B14" s="167"/>
      <c r="C14" s="167"/>
      <c r="D14" s="167"/>
      <c r="E14" s="167"/>
      <c r="F14" s="167"/>
      <c r="G14" s="167"/>
      <c r="H14" s="167"/>
      <c r="I14" s="167"/>
      <c r="J14" s="167"/>
      <c r="K14" s="167"/>
      <c r="L14" s="167"/>
      <c r="M14" s="167"/>
      <c r="N14" s="168"/>
      <c r="O14" s="169"/>
      <c r="P14" s="2"/>
      <c r="Q14" s="174" t="s">
        <v>16</v>
      </c>
      <c r="R14" s="175"/>
      <c r="S14" s="175"/>
      <c r="T14" s="175"/>
      <c r="U14" s="175"/>
      <c r="V14" s="175"/>
      <c r="W14" s="175"/>
      <c r="X14" s="175"/>
      <c r="Y14" s="176"/>
      <c r="Z14" s="176"/>
      <c r="AA14" s="176"/>
      <c r="AB14" s="176"/>
      <c r="AC14" s="176"/>
      <c r="AD14" s="176"/>
      <c r="AE14" s="176"/>
      <c r="AF14" s="175"/>
      <c r="AG14" s="175"/>
      <c r="AH14" s="175"/>
      <c r="AI14" s="175"/>
      <c r="AJ14" s="175"/>
      <c r="AK14" s="175"/>
      <c r="AL14" s="175"/>
      <c r="AM14" s="175"/>
      <c r="AN14" s="177"/>
      <c r="AO14" s="2"/>
      <c r="AP14" s="178" t="s">
        <v>17</v>
      </c>
      <c r="AQ14" s="179"/>
      <c r="AR14" s="180"/>
      <c r="AT14" s="184" t="s">
        <v>18</v>
      </c>
      <c r="AU14" s="185"/>
      <c r="AV14" s="185"/>
      <c r="AW14" s="185"/>
      <c r="AX14" s="186"/>
      <c r="AY14" s="27"/>
      <c r="AZ14" s="178" t="s">
        <v>19</v>
      </c>
      <c r="BA14" s="180"/>
    </row>
    <row r="15" spans="1:53" x14ac:dyDescent="0.3">
      <c r="A15" s="170"/>
      <c r="B15" s="171"/>
      <c r="C15" s="171"/>
      <c r="D15" s="171"/>
      <c r="E15" s="171"/>
      <c r="F15" s="171"/>
      <c r="G15" s="171"/>
      <c r="H15" s="171"/>
      <c r="I15" s="171"/>
      <c r="J15" s="171"/>
      <c r="K15" s="171"/>
      <c r="L15" s="171"/>
      <c r="M15" s="171"/>
      <c r="N15" s="172"/>
      <c r="O15" s="173"/>
      <c r="P15" s="2"/>
      <c r="Q15" s="23"/>
      <c r="R15" s="24"/>
      <c r="S15" s="24"/>
      <c r="T15" s="24"/>
      <c r="U15" s="24"/>
      <c r="V15" s="24"/>
      <c r="W15" s="24"/>
      <c r="X15" s="24"/>
      <c r="Y15" s="189" t="s">
        <v>20</v>
      </c>
      <c r="Z15" s="190"/>
      <c r="AA15" s="191"/>
      <c r="AB15" s="189" t="s">
        <v>21</v>
      </c>
      <c r="AC15" s="190"/>
      <c r="AD15" s="190"/>
      <c r="AE15" s="190"/>
      <c r="AF15" s="191"/>
      <c r="AG15" s="192"/>
      <c r="AH15" s="192"/>
      <c r="AI15" s="192"/>
      <c r="AJ15" s="192"/>
      <c r="AK15" s="192"/>
      <c r="AL15" s="192"/>
      <c r="AM15" s="192"/>
      <c r="AN15" s="193"/>
      <c r="AO15" s="2"/>
      <c r="AP15" s="181"/>
      <c r="AQ15" s="182"/>
      <c r="AR15" s="183"/>
      <c r="AT15" s="187"/>
      <c r="AU15" s="182"/>
      <c r="AV15" s="182"/>
      <c r="AW15" s="182"/>
      <c r="AX15" s="188"/>
      <c r="AY15" s="27"/>
      <c r="AZ15" s="181"/>
      <c r="BA15" s="183"/>
    </row>
    <row r="16" spans="1:53" s="5" customFormat="1" ht="166.5" customHeight="1" thickBot="1" x14ac:dyDescent="0.35">
      <c r="A16" s="9" t="s">
        <v>22</v>
      </c>
      <c r="B16" s="10" t="s">
        <v>23</v>
      </c>
      <c r="C16" s="11" t="s">
        <v>24</v>
      </c>
      <c r="D16" s="11" t="s">
        <v>25</v>
      </c>
      <c r="E16" s="12" t="s">
        <v>26</v>
      </c>
      <c r="F16" s="19" t="s">
        <v>27</v>
      </c>
      <c r="G16" s="29" t="s">
        <v>28</v>
      </c>
      <c r="H16" s="12" t="s">
        <v>29</v>
      </c>
      <c r="I16" s="11" t="s">
        <v>30</v>
      </c>
      <c r="J16" s="11" t="s">
        <v>31</v>
      </c>
      <c r="K16" s="12" t="s">
        <v>32</v>
      </c>
      <c r="L16" s="12" t="s">
        <v>33</v>
      </c>
      <c r="M16" s="11" t="s">
        <v>30</v>
      </c>
      <c r="N16" s="11" t="s">
        <v>34</v>
      </c>
      <c r="O16" s="13" t="s">
        <v>35</v>
      </c>
      <c r="P16" s="2">
        <v>0</v>
      </c>
      <c r="Q16" s="14" t="s">
        <v>36</v>
      </c>
      <c r="R16" s="95" t="s">
        <v>37</v>
      </c>
      <c r="S16" s="95" t="s">
        <v>38</v>
      </c>
      <c r="T16" s="95" t="s">
        <v>39</v>
      </c>
      <c r="U16" s="95" t="s">
        <v>40</v>
      </c>
      <c r="V16" s="95" t="s">
        <v>41</v>
      </c>
      <c r="W16" s="95" t="s">
        <v>42</v>
      </c>
      <c r="X16" s="25" t="s">
        <v>43</v>
      </c>
      <c r="Y16" s="44" t="s">
        <v>44</v>
      </c>
      <c r="Z16" s="44" t="s">
        <v>45</v>
      </c>
      <c r="AA16" s="16" t="s">
        <v>46</v>
      </c>
      <c r="AB16" s="161" t="s">
        <v>47</v>
      </c>
      <c r="AC16" s="162"/>
      <c r="AD16" s="16" t="s">
        <v>48</v>
      </c>
      <c r="AE16" s="161" t="s">
        <v>49</v>
      </c>
      <c r="AF16" s="162"/>
      <c r="AG16" s="17" t="s">
        <v>50</v>
      </c>
      <c r="AH16" s="17" t="s">
        <v>51</v>
      </c>
      <c r="AI16" s="17" t="s">
        <v>30</v>
      </c>
      <c r="AJ16" s="17" t="s">
        <v>52</v>
      </c>
      <c r="AK16" s="17" t="s">
        <v>30</v>
      </c>
      <c r="AL16" s="17" t="s">
        <v>34</v>
      </c>
      <c r="AM16" s="17" t="s">
        <v>53</v>
      </c>
      <c r="AN16" s="13" t="s">
        <v>54</v>
      </c>
      <c r="AO16" s="2"/>
      <c r="AP16" s="18" t="s">
        <v>55</v>
      </c>
      <c r="AQ16" s="15" t="s">
        <v>56</v>
      </c>
      <c r="AR16" s="26" t="s">
        <v>57</v>
      </c>
      <c r="AT16" s="40" t="s">
        <v>58</v>
      </c>
      <c r="AU16" s="42" t="s">
        <v>59</v>
      </c>
      <c r="AV16" s="42" t="s">
        <v>60</v>
      </c>
      <c r="AW16" s="42" t="s">
        <v>61</v>
      </c>
      <c r="AX16" s="41" t="s">
        <v>62</v>
      </c>
      <c r="AY16" s="28"/>
      <c r="AZ16" s="43" t="s">
        <v>63</v>
      </c>
      <c r="BA16" s="96" t="s">
        <v>64</v>
      </c>
    </row>
    <row r="17" spans="1:53" ht="407.25" customHeight="1" thickBot="1" x14ac:dyDescent="0.35">
      <c r="A17" s="163">
        <v>1</v>
      </c>
      <c r="B17" s="164" t="s">
        <v>65</v>
      </c>
      <c r="C17" s="165" t="s">
        <v>66</v>
      </c>
      <c r="D17" s="165" t="s">
        <v>67</v>
      </c>
      <c r="E17" s="165" t="s">
        <v>68</v>
      </c>
      <c r="F17" s="165"/>
      <c r="G17" s="163">
        <v>34</v>
      </c>
      <c r="H17" s="160" t="str">
        <f>IF(G17&lt;=0,"",IF(G17&lt;=2,"Muy Baja",IF(G17&lt;=24,"Baja",IF(G17&lt;=500,"Media",IF(G17&lt;=5000,"Alta","Muy Alta")))))</f>
        <v>Media</v>
      </c>
      <c r="I17" s="157">
        <f>IF(H17="","",IF(H17="Muy Baja",0.2,IF(H17="Baja",0.4,IF(H17="Media",0.6,IF(H17="Alta",0.8,IF(H17="Muy Alta",1,))))))</f>
        <v>0.6</v>
      </c>
      <c r="J17" s="158" t="s">
        <v>69</v>
      </c>
      <c r="K17" s="159" t="str">
        <f>+J17</f>
        <v>El riesgo afecta la imagen de algún área de la organización.</v>
      </c>
      <c r="L17" s="160" t="e">
        <f>+VLOOKUP(K17,#REF!,2,FALSE)</f>
        <v>#REF!</v>
      </c>
      <c r="M17" s="157" t="e">
        <f>IF(L17="","",IF(L17="Leve",0.2,IF(L17="Menor",0.4,IF(L17="Moderado",0.6,IF(L17="Mayor",0.8,IF(L17="Catastrófico",1,))))))</f>
        <v>#REF!</v>
      </c>
      <c r="N17" s="157" t="e">
        <f>+CONCATENATE(H17, " - ", L17)</f>
        <v>#REF!</v>
      </c>
      <c r="O17" s="153" t="e">
        <f>+VLOOKUP(N17,#REF!,2,)</f>
        <v>#REF!</v>
      </c>
      <c r="P17" s="99"/>
      <c r="Q17" s="100">
        <v>1</v>
      </c>
      <c r="R17" s="71" t="s">
        <v>70</v>
      </c>
      <c r="S17" s="71" t="s">
        <v>71</v>
      </c>
      <c r="T17" s="71" t="s">
        <v>72</v>
      </c>
      <c r="U17" s="71" t="s">
        <v>73</v>
      </c>
      <c r="V17" s="71" t="s">
        <v>74</v>
      </c>
      <c r="W17" s="71" t="s">
        <v>75</v>
      </c>
      <c r="X17" s="30" t="str">
        <f>IF(OR(Y17="Preventivo",Y17="Detectivo"),"Probabilidad",IF(Y17="Correctivo","Impacto",""))</f>
        <v>Probabilidad</v>
      </c>
      <c r="Y17" s="6" t="s">
        <v>76</v>
      </c>
      <c r="Z17" s="6" t="s">
        <v>77</v>
      </c>
      <c r="AA17" s="31" t="str">
        <f t="shared" ref="AA17:AA18" si="0">IF(AND(Y17="Preventivo",Z17="Automático"),"50%",IF(AND(Y17="Preventivo",Z17="Manual"),"40%",IF(AND(Y17="Detectivo",Z17="Automático"),"40%",IF(AND(Y17="Detectivo",Z17="Manual"),"30%",IF(AND(Y17="Correctivo",Z17="Automático"),"35%",IF(AND(Y17="Correctivo",Z17="Manual"),"25%",""))))))</f>
        <v>40%</v>
      </c>
      <c r="AB17" s="8" t="s">
        <v>78</v>
      </c>
      <c r="AC17" s="8" t="s">
        <v>79</v>
      </c>
      <c r="AD17" s="6" t="s">
        <v>80</v>
      </c>
      <c r="AE17" s="8" t="s">
        <v>81</v>
      </c>
      <c r="AF17" s="8" t="str">
        <f>+W17</f>
        <v>Informe de diagnóstico de necesidades de aprendizaje organizacional
Informe de diagnóstico de necesidades y expectativas de bienestar social e incentivos
Correos electrónicos de reiteración o de ampliación de plazo (Cuando aplique)</v>
      </c>
      <c r="AG17" s="32">
        <f>IFERROR(IF(X17="Probabilidad",(I17-(+I17*AA17)),IF(X17="Impacto",I17,"")),"")</f>
        <v>0.36</v>
      </c>
      <c r="AH17" s="33" t="str">
        <f t="shared" ref="AH17:AH18" si="1">IFERROR(IF(AG17="","",IF(AG17&lt;=0.2,"Muy Baja",IF(AG17&lt;=0.4,"Baja",IF(AG17&lt;=0.6,"Media",IF(AG17&lt;=0.8,"Alta","Muy Alta"))))),"")</f>
        <v>Baja</v>
      </c>
      <c r="AI17" s="34">
        <f>I17-(AA17*I17)</f>
        <v>0.36</v>
      </c>
      <c r="AJ17" s="35" t="str">
        <f t="shared" ref="AJ17:AJ18" si="2">IFERROR(IF(AK17="","",IF(AK17&lt;=0.2,"Leve",IF(AK17&lt;=0.4,"Menor",IF(AK17&lt;=0.6,"Moderado",IF(AK17&lt;=0.8,"Mayor","Catastrófico"))))),"")</f>
        <v/>
      </c>
      <c r="AK17" s="32" t="str">
        <f>IFERROR(IF(X17="Impacto",(M17-(+M17*AA17)),IF(X17="Probabilidad",M17,"")),"")</f>
        <v/>
      </c>
      <c r="AL17" s="36" t="str">
        <f>+CONCATENATE(AH17, " - ", AJ17)</f>
        <v xml:space="preserve">Baja - </v>
      </c>
      <c r="AM17" s="37" t="e">
        <f>+VLOOKUP(AL17,#REF!,2,)</f>
        <v>#REF!</v>
      </c>
      <c r="AN17" s="154" t="s">
        <v>82</v>
      </c>
      <c r="AO17" s="99"/>
      <c r="AP17" s="155" t="s">
        <v>83</v>
      </c>
      <c r="AQ17" s="155" t="s">
        <v>84</v>
      </c>
      <c r="AR17" s="156" t="s">
        <v>85</v>
      </c>
      <c r="AS17" s="102"/>
      <c r="AT17" s="103">
        <v>46148</v>
      </c>
      <c r="AU17" s="138" t="s">
        <v>86</v>
      </c>
      <c r="AV17" s="139" t="s">
        <v>87</v>
      </c>
      <c r="AW17" s="140" t="s">
        <v>88</v>
      </c>
      <c r="AX17" s="140" t="s">
        <v>89</v>
      </c>
      <c r="AY17" s="104"/>
      <c r="AZ17" s="137" t="s">
        <v>90</v>
      </c>
      <c r="BA17" s="144" t="s">
        <v>91</v>
      </c>
    </row>
    <row r="18" spans="1:53" ht="392.25" customHeight="1" x14ac:dyDescent="0.3">
      <c r="A18" s="163"/>
      <c r="B18" s="164"/>
      <c r="C18" s="165"/>
      <c r="D18" s="165"/>
      <c r="E18" s="165"/>
      <c r="F18" s="165"/>
      <c r="G18" s="163"/>
      <c r="H18" s="160"/>
      <c r="I18" s="157"/>
      <c r="J18" s="158"/>
      <c r="K18" s="159"/>
      <c r="L18" s="160"/>
      <c r="M18" s="157"/>
      <c r="N18" s="157"/>
      <c r="O18" s="153"/>
      <c r="P18" s="99"/>
      <c r="Q18" s="100">
        <v>2</v>
      </c>
      <c r="R18" s="71" t="s">
        <v>92</v>
      </c>
      <c r="S18" s="71" t="s">
        <v>93</v>
      </c>
      <c r="T18" s="71" t="s">
        <v>94</v>
      </c>
      <c r="U18" s="94" t="s">
        <v>95</v>
      </c>
      <c r="V18" s="151" t="s">
        <v>96</v>
      </c>
      <c r="W18" s="71" t="s">
        <v>97</v>
      </c>
      <c r="X18" s="30" t="str">
        <f t="shared" ref="X18" si="3">IF(OR(Y18="Preventivo",Y18="Detectivo"),"Probabilidad",IF(Y18="Correctivo","Impacto",""))</f>
        <v>Probabilidad</v>
      </c>
      <c r="Y18" s="6" t="s">
        <v>98</v>
      </c>
      <c r="Z18" s="6" t="s">
        <v>77</v>
      </c>
      <c r="AA18" s="31" t="str">
        <f t="shared" si="0"/>
        <v>30%</v>
      </c>
      <c r="AB18" s="8" t="s">
        <v>78</v>
      </c>
      <c r="AC18" s="8" t="s">
        <v>79</v>
      </c>
      <c r="AD18" s="6" t="s">
        <v>99</v>
      </c>
      <c r="AE18" s="8" t="s">
        <v>81</v>
      </c>
      <c r="AF18" s="8" t="str">
        <f>+W18</f>
        <v>Encuesta de satisfacción de la capacitación A-GDH-FT-022
Evaluación de la actividad de Bienestar A-GDH-FT-008
Correo electrónico con la novedad presentada (Si aplica)</v>
      </c>
      <c r="AG18" s="34">
        <f t="shared" ref="AG18" si="4">IFERROR(IF(AND(X17="Probabilidad",X18="Probabilidad"),(AI17-(+AI17*AA18)),IF(X18="Probabilidad",($I$17-(+$I$17*AA18)),IF(X18="Impacto",AI17,""))),"")</f>
        <v>0.252</v>
      </c>
      <c r="AH18" s="33" t="str">
        <f t="shared" si="1"/>
        <v>Baja</v>
      </c>
      <c r="AI18" s="34">
        <f t="shared" ref="AI18" si="5">+AG18</f>
        <v>0.252</v>
      </c>
      <c r="AJ18" s="35" t="str">
        <f t="shared" si="2"/>
        <v/>
      </c>
      <c r="AK18" s="32" t="str">
        <f t="shared" ref="AK18" si="6">IFERROR(IF(AND(X17="Impacto",X17="Impacto"),(AK17-(+AK17*AA18)),IF(X18="Impacto",($M$17-(+$M$17*AA18)),IF(X18="Probabilidad",AK17,""))),"")</f>
        <v/>
      </c>
      <c r="AL18" s="36" t="str">
        <f t="shared" ref="AL18" si="7">+CONCATENATE(AH18, " - ", AJ18)</f>
        <v xml:space="preserve">Baja - </v>
      </c>
      <c r="AM18" s="37" t="e">
        <f>+VLOOKUP(AL18,#REF!,2,)</f>
        <v>#REF!</v>
      </c>
      <c r="AN18" s="154"/>
      <c r="AO18" s="99"/>
      <c r="AP18" s="155"/>
      <c r="AQ18" s="155"/>
      <c r="AR18" s="156"/>
      <c r="AS18" s="102"/>
      <c r="AT18" s="103">
        <v>46148</v>
      </c>
      <c r="AU18" s="133" t="s">
        <v>100</v>
      </c>
      <c r="AV18" s="128" t="s">
        <v>87</v>
      </c>
      <c r="AW18" s="132" t="s">
        <v>88</v>
      </c>
      <c r="AX18" s="129" t="s">
        <v>89</v>
      </c>
      <c r="AY18" s="104"/>
      <c r="AZ18" s="137" t="s">
        <v>101</v>
      </c>
      <c r="BA18" s="150" t="s">
        <v>102</v>
      </c>
    </row>
    <row r="19" spans="1:53" ht="93.75" customHeight="1" x14ac:dyDescent="0.3">
      <c r="B19" s="76"/>
      <c r="C19" s="77"/>
      <c r="D19" s="77"/>
      <c r="E19" s="77"/>
      <c r="F19" s="77"/>
      <c r="G19" s="76"/>
      <c r="H19" s="76"/>
      <c r="I19" s="78"/>
      <c r="J19" s="79"/>
      <c r="K19" s="80"/>
      <c r="L19" s="76"/>
      <c r="M19" s="78"/>
      <c r="N19" s="78"/>
      <c r="O19" s="81"/>
      <c r="P19" s="2"/>
      <c r="Q19" s="82"/>
      <c r="R19" s="22"/>
      <c r="S19" s="22"/>
      <c r="T19" s="22"/>
      <c r="U19" s="22"/>
      <c r="V19" s="22"/>
      <c r="W19" s="22"/>
      <c r="X19" s="82"/>
      <c r="Y19" s="83"/>
      <c r="Z19" s="83"/>
      <c r="AA19" s="84"/>
      <c r="AB19" s="85"/>
      <c r="AC19" s="86"/>
      <c r="AD19" s="83"/>
      <c r="AE19" s="85"/>
      <c r="AF19" s="85"/>
      <c r="AG19" s="87"/>
      <c r="AH19" s="83"/>
      <c r="AI19" s="88"/>
      <c r="AJ19" s="89"/>
      <c r="AK19" s="87"/>
      <c r="AL19" s="90"/>
      <c r="AM19" s="91"/>
      <c r="AN19" s="92"/>
      <c r="AO19" s="2"/>
      <c r="AP19" s="74"/>
      <c r="AQ19" s="74"/>
      <c r="AR19" s="74"/>
      <c r="AT19" s="45"/>
      <c r="AU19" s="46"/>
      <c r="AV19" s="47"/>
      <c r="AW19" s="48"/>
      <c r="AX19" s="49"/>
      <c r="AY19" s="27"/>
      <c r="AZ19" s="47"/>
      <c r="BA19" s="50"/>
    </row>
    <row r="20" spans="1:53" ht="20.399999999999999" x14ac:dyDescent="0.3">
      <c r="A20" s="152" t="s">
        <v>103</v>
      </c>
      <c r="B20" s="152"/>
      <c r="C20" s="152"/>
      <c r="D20" s="152"/>
      <c r="E20" s="152"/>
      <c r="F20" s="152"/>
      <c r="G20" s="152"/>
      <c r="H20" s="152"/>
      <c r="P20" s="2"/>
      <c r="BA20" s="39" t="s">
        <v>104</v>
      </c>
    </row>
    <row r="21" spans="1:53" x14ac:dyDescent="0.3">
      <c r="P21" s="2"/>
    </row>
    <row r="22" spans="1:53" x14ac:dyDescent="0.3">
      <c r="P22" s="2"/>
    </row>
    <row r="23" spans="1:53" x14ac:dyDescent="0.3">
      <c r="P23" s="2"/>
    </row>
    <row r="24" spans="1:53" x14ac:dyDescent="0.3">
      <c r="P24" s="2"/>
    </row>
    <row r="25" spans="1:53" x14ac:dyDescent="0.3">
      <c r="P25" s="2"/>
    </row>
    <row r="26" spans="1:53" x14ac:dyDescent="0.3">
      <c r="P26" s="2"/>
    </row>
    <row r="27" spans="1:53" x14ac:dyDescent="0.3">
      <c r="P27" s="2"/>
    </row>
    <row r="28" spans="1:53" x14ac:dyDescent="0.3">
      <c r="P28" s="2"/>
    </row>
  </sheetData>
  <mergeCells count="47">
    <mergeCell ref="AZ1:BA2"/>
    <mergeCell ref="AX3:AY4"/>
    <mergeCell ref="AZ3:BA4"/>
    <mergeCell ref="C5:AW8"/>
    <mergeCell ref="AX5:AY6"/>
    <mergeCell ref="AZ5:BA6"/>
    <mergeCell ref="AX7:AY8"/>
    <mergeCell ref="AZ7:BA8"/>
    <mergeCell ref="A12:C12"/>
    <mergeCell ref="D12:M12"/>
    <mergeCell ref="A1:B8"/>
    <mergeCell ref="C1:AW4"/>
    <mergeCell ref="AX1:AY2"/>
    <mergeCell ref="A10:C10"/>
    <mergeCell ref="D10:M10"/>
    <mergeCell ref="A11:C11"/>
    <mergeCell ref="D11:M11"/>
    <mergeCell ref="A14:O15"/>
    <mergeCell ref="Q14:AN14"/>
    <mergeCell ref="AP14:AR15"/>
    <mergeCell ref="AT14:AX15"/>
    <mergeCell ref="AZ14:BA15"/>
    <mergeCell ref="Y15:AA15"/>
    <mergeCell ref="AB15:AF15"/>
    <mergeCell ref="AG15:AN15"/>
    <mergeCell ref="AB16:AC16"/>
    <mergeCell ref="AE16:AF16"/>
    <mergeCell ref="A17:A18"/>
    <mergeCell ref="B17:B18"/>
    <mergeCell ref="C17:C18"/>
    <mergeCell ref="D17:D18"/>
    <mergeCell ref="E17:E18"/>
    <mergeCell ref="F17:F18"/>
    <mergeCell ref="G17:G18"/>
    <mergeCell ref="H17:H18"/>
    <mergeCell ref="AR17:AR18"/>
    <mergeCell ref="I17:I18"/>
    <mergeCell ref="J17:J18"/>
    <mergeCell ref="K17:K18"/>
    <mergeCell ref="L17:L18"/>
    <mergeCell ref="M17:M18"/>
    <mergeCell ref="N17:N18"/>
    <mergeCell ref="A20:H20"/>
    <mergeCell ref="O17:O18"/>
    <mergeCell ref="AN17:AN18"/>
    <mergeCell ref="AP17:AP18"/>
    <mergeCell ref="AQ17:AQ18"/>
  </mergeCells>
  <conditionalFormatting sqref="H17:H19">
    <cfRule type="cellIs" dxfId="495" priority="20" operator="equal">
      <formula>"Muy Alta"</formula>
    </cfRule>
    <cfRule type="cellIs" dxfId="494" priority="21" operator="equal">
      <formula>"Alta"</formula>
    </cfRule>
    <cfRule type="cellIs" dxfId="493" priority="22" operator="equal">
      <formula>"Media"</formula>
    </cfRule>
    <cfRule type="cellIs" dxfId="492" priority="23" operator="equal">
      <formula>"Muy Baja"</formula>
    </cfRule>
    <cfRule type="cellIs" dxfId="491" priority="24" operator="equal">
      <formula>"Baja"</formula>
    </cfRule>
  </conditionalFormatting>
  <conditionalFormatting sqref="L17:L19">
    <cfRule type="cellIs" dxfId="490" priority="15" operator="equal">
      <formula>"Leve"</formula>
    </cfRule>
    <cfRule type="cellIs" dxfId="489" priority="16" operator="equal">
      <formula>"Catastrófico"</formula>
    </cfRule>
    <cfRule type="cellIs" dxfId="488" priority="17" operator="equal">
      <formula>"Mayor"</formula>
    </cfRule>
    <cfRule type="cellIs" dxfId="487" priority="18" operator="equal">
      <formula>"Moderado"</formula>
    </cfRule>
    <cfRule type="cellIs" dxfId="486" priority="19" operator="equal">
      <formula>"Menor"</formula>
    </cfRule>
  </conditionalFormatting>
  <conditionalFormatting sqref="O17:O19 AM17:AM19">
    <cfRule type="cellIs" dxfId="485" priority="11" operator="equal">
      <formula>"EXTREMO"</formula>
    </cfRule>
    <cfRule type="cellIs" dxfId="484" priority="12" operator="equal">
      <formula>"ALTO"</formula>
    </cfRule>
    <cfRule type="cellIs" dxfId="483" priority="13" operator="equal">
      <formula>"BAJO"</formula>
    </cfRule>
    <cfRule type="cellIs" dxfId="482" priority="14" operator="equal">
      <formula>"MODERADO"</formula>
    </cfRule>
  </conditionalFormatting>
  <conditionalFormatting sqref="AH17:AH19">
    <cfRule type="cellIs" dxfId="481" priority="6" operator="equal">
      <formula>"Muy Baja"</formula>
    </cfRule>
    <cfRule type="cellIs" dxfId="480" priority="7" operator="equal">
      <formula>"Baja"</formula>
    </cfRule>
    <cfRule type="cellIs" dxfId="479" priority="8" operator="equal">
      <formula>"Media"</formula>
    </cfRule>
    <cfRule type="cellIs" dxfId="478" priority="9" operator="equal">
      <formula>"Muy Alta"</formula>
    </cfRule>
    <cfRule type="cellIs" dxfId="477" priority="10" operator="equal">
      <formula>"Alta"</formula>
    </cfRule>
  </conditionalFormatting>
  <conditionalFormatting sqref="AJ17:AJ19">
    <cfRule type="cellIs" dxfId="476" priority="1" operator="equal">
      <formula>"Catastrófico"</formula>
    </cfRule>
    <cfRule type="cellIs" dxfId="475" priority="2" operator="equal">
      <formula>"Mayor"</formula>
    </cfRule>
    <cfRule type="cellIs" dxfId="474" priority="3" operator="equal">
      <formula>"Moderado"</formula>
    </cfRule>
    <cfRule type="cellIs" dxfId="473" priority="4" operator="equal">
      <formula>"Menor"</formula>
    </cfRule>
    <cfRule type="cellIs" dxfId="472" priority="5" operator="equal">
      <formula>"Leve"</formula>
    </cfRule>
  </conditionalFormatting>
  <hyperlinks>
    <hyperlink ref="A14:O15" location="Instructivo!A1" display="IDENTIFICACIÓN DEL RIESGO" xr:uid="{C8EAC4D1-150B-40FC-A876-9191CE43B90E}"/>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742106D4-949D-4ECD-922F-C71F420EB7C6}">
          <x14:formula1>
            <xm:f>#REF!</xm:f>
          </x14:formula1>
          <xm:sqref>AE17:AE19</xm:sqref>
        </x14:dataValidation>
        <x14:dataValidation type="list" allowBlank="1" showInputMessage="1" showErrorMessage="1" xr:uid="{8BD88131-9D28-404D-A773-199C8E5D2A46}">
          <x14:formula1>
            <xm:f>#REF!</xm:f>
          </x14:formula1>
          <xm:sqref>AD17:AD19</xm:sqref>
        </x14:dataValidation>
        <x14:dataValidation type="list" allowBlank="1" showInputMessage="1" showErrorMessage="1" xr:uid="{928F11A1-9330-491F-BC96-D9E15F144469}">
          <x14:formula1>
            <xm:f>#REF!</xm:f>
          </x14:formula1>
          <xm:sqref>AB17:AB19</xm:sqref>
        </x14:dataValidation>
        <x14:dataValidation type="list" allowBlank="1" showInputMessage="1" showErrorMessage="1" xr:uid="{18A8A0B1-F6B9-4BE7-A11A-6F20D242523D}">
          <x14:formula1>
            <xm:f>#REF!</xm:f>
          </x14:formula1>
          <xm:sqref>F17:F19</xm:sqref>
        </x14:dataValidation>
        <x14:dataValidation type="list" allowBlank="1" showInputMessage="1" showErrorMessage="1" xr:uid="{4F5C85A8-1ED9-46F7-A514-EE8646FA64C8}">
          <x14:formula1>
            <xm:f>#REF!</xm:f>
          </x14:formula1>
          <xm:sqref>Z17:Z19</xm:sqref>
        </x14:dataValidation>
        <x14:dataValidation type="list" allowBlank="1" showInputMessage="1" showErrorMessage="1" xr:uid="{16C73F98-33C1-4D14-8599-6C00036CE238}">
          <x14:formula1>
            <xm:f>#REF!</xm:f>
          </x14:formula1>
          <xm:sqref>Y17:Y19</xm:sqref>
        </x14:dataValidation>
        <x14:dataValidation type="list" allowBlank="1" showInputMessage="1" showErrorMessage="1" xr:uid="{019210B2-AF3F-434C-9E1B-13B8E84FA7A1}">
          <x14:formula1>
            <xm:f>#REF!</xm:f>
          </x14:formula1>
          <xm:sqref>J19</xm:sqref>
        </x14:dataValidation>
        <x14:dataValidation type="list" allowBlank="1" showInputMessage="1" showErrorMessage="1" xr:uid="{CD68327C-4057-4B3F-B36A-1AB27E03E74F}">
          <x14:formula1>
            <xm:f>#REF!</xm:f>
          </x14:formula1>
          <xm:sqref>B19</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0017A-0412-4777-B1D9-218B5C222A00}">
  <sheetPr>
    <tabColor theme="0"/>
    <pageSetUpPr fitToPage="1"/>
  </sheetPr>
  <dimension ref="A1:BA28"/>
  <sheetViews>
    <sheetView showGridLines="0" view="pageBreakPreview" topLeftCell="AW1" zoomScale="60" zoomScaleNormal="60" workbookViewId="0">
      <selection activeCell="BC11" sqref="BC11"/>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88671875" customWidth="1"/>
    <col min="12" max="12" width="20.109375"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23" width="46.6640625" style="1" customWidth="1"/>
    <col min="24" max="24" width="15.88671875" style="1" customWidth="1"/>
    <col min="25" max="27" width="10.33203125" style="1" customWidth="1"/>
    <col min="28" max="28" width="6" style="1" customWidth="1"/>
    <col min="29" max="29" width="13.6640625" style="1" customWidth="1"/>
    <col min="30" max="30" width="7.5546875" style="1" customWidth="1"/>
    <col min="31" max="31" width="5.6640625" style="1" customWidth="1"/>
    <col min="32" max="32" width="17"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5546875" style="4" customWidth="1"/>
    <col min="41" max="41" width="1" style="4" customWidth="1"/>
    <col min="42" max="42" width="26.88671875" style="4" customWidth="1"/>
    <col min="43" max="43" width="26.6640625" style="1" customWidth="1"/>
    <col min="44" max="44" width="20.88671875" style="1" customWidth="1"/>
    <col min="45" max="45" width="1" customWidth="1"/>
    <col min="46" max="46" width="18.33203125" customWidth="1"/>
    <col min="47" max="50" width="45" customWidth="1"/>
    <col min="51" max="51" width="1" customWidth="1"/>
    <col min="52" max="53" width="4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4</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399999999999999"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343</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45828</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29" t="s">
        <v>360</v>
      </c>
      <c r="E10" s="230"/>
      <c r="F10" s="230"/>
      <c r="G10" s="230"/>
      <c r="H10" s="230"/>
      <c r="I10" s="230"/>
      <c r="J10" s="230"/>
      <c r="K10" s="230"/>
      <c r="L10" s="230"/>
      <c r="M10" s="231"/>
      <c r="N10" s="21"/>
      <c r="AN10" s="1"/>
      <c r="AO10" s="1"/>
      <c r="AP10" s="1"/>
    </row>
    <row r="11" spans="1:53" s="3" customFormat="1" ht="75" customHeight="1" x14ac:dyDescent="0.3">
      <c r="A11" s="194" t="s">
        <v>11</v>
      </c>
      <c r="B11" s="194"/>
      <c r="C11" s="194"/>
      <c r="D11" s="233" t="s">
        <v>361</v>
      </c>
      <c r="E11" s="234"/>
      <c r="F11" s="234"/>
      <c r="G11" s="234"/>
      <c r="H11" s="234"/>
      <c r="I11" s="234"/>
      <c r="J11" s="234"/>
      <c r="K11" s="234"/>
      <c r="L11" s="234"/>
      <c r="M11" s="235"/>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94" t="s">
        <v>13</v>
      </c>
      <c r="B12" s="194"/>
      <c r="C12" s="194"/>
      <c r="D12" s="233" t="s">
        <v>362</v>
      </c>
      <c r="E12" s="234"/>
      <c r="F12" s="234"/>
      <c r="G12" s="234"/>
      <c r="H12" s="234"/>
      <c r="I12" s="234"/>
      <c r="J12" s="234"/>
      <c r="K12" s="234"/>
      <c r="L12" s="234"/>
      <c r="M12" s="235"/>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66" t="s">
        <v>15</v>
      </c>
      <c r="B14" s="167"/>
      <c r="C14" s="167"/>
      <c r="D14" s="167"/>
      <c r="E14" s="167"/>
      <c r="F14" s="167"/>
      <c r="G14" s="167"/>
      <c r="H14" s="167"/>
      <c r="I14" s="167"/>
      <c r="J14" s="167"/>
      <c r="K14" s="167"/>
      <c r="L14" s="167"/>
      <c r="M14" s="167"/>
      <c r="N14" s="168"/>
      <c r="O14" s="169"/>
      <c r="P14" s="2"/>
      <c r="Q14" s="174" t="s">
        <v>16</v>
      </c>
      <c r="R14" s="175"/>
      <c r="S14" s="175"/>
      <c r="T14" s="175"/>
      <c r="U14" s="175"/>
      <c r="V14" s="175"/>
      <c r="W14" s="175"/>
      <c r="X14" s="175"/>
      <c r="Y14" s="176"/>
      <c r="Z14" s="176"/>
      <c r="AA14" s="176"/>
      <c r="AB14" s="176"/>
      <c r="AC14" s="176"/>
      <c r="AD14" s="176"/>
      <c r="AE14" s="176"/>
      <c r="AF14" s="175"/>
      <c r="AG14" s="175"/>
      <c r="AH14" s="175"/>
      <c r="AI14" s="175"/>
      <c r="AJ14" s="175"/>
      <c r="AK14" s="175"/>
      <c r="AL14" s="175"/>
      <c r="AM14" s="175"/>
      <c r="AN14" s="177"/>
      <c r="AO14" s="2"/>
      <c r="AP14" s="178" t="s">
        <v>17</v>
      </c>
      <c r="AQ14" s="179"/>
      <c r="AR14" s="180"/>
      <c r="AT14" s="184" t="s">
        <v>18</v>
      </c>
      <c r="AU14" s="185"/>
      <c r="AV14" s="185"/>
      <c r="AW14" s="185"/>
      <c r="AX14" s="186"/>
      <c r="AY14" s="27"/>
      <c r="AZ14" s="178" t="s">
        <v>19</v>
      </c>
      <c r="BA14" s="180"/>
    </row>
    <row r="15" spans="1:53" x14ac:dyDescent="0.3">
      <c r="A15" s="170"/>
      <c r="B15" s="171"/>
      <c r="C15" s="171"/>
      <c r="D15" s="171"/>
      <c r="E15" s="171"/>
      <c r="F15" s="171"/>
      <c r="G15" s="171"/>
      <c r="H15" s="171"/>
      <c r="I15" s="171"/>
      <c r="J15" s="171"/>
      <c r="K15" s="171"/>
      <c r="L15" s="171"/>
      <c r="M15" s="171"/>
      <c r="N15" s="172"/>
      <c r="O15" s="173"/>
      <c r="P15" s="2"/>
      <c r="Q15" s="23"/>
      <c r="R15" s="24"/>
      <c r="S15" s="24"/>
      <c r="T15" s="24"/>
      <c r="U15" s="24"/>
      <c r="V15" s="24"/>
      <c r="W15" s="24"/>
      <c r="X15" s="24"/>
      <c r="Y15" s="189" t="s">
        <v>20</v>
      </c>
      <c r="Z15" s="190"/>
      <c r="AA15" s="191"/>
      <c r="AB15" s="189" t="s">
        <v>21</v>
      </c>
      <c r="AC15" s="190"/>
      <c r="AD15" s="190"/>
      <c r="AE15" s="190"/>
      <c r="AF15" s="191"/>
      <c r="AG15" s="192"/>
      <c r="AH15" s="192"/>
      <c r="AI15" s="192"/>
      <c r="AJ15" s="192"/>
      <c r="AK15" s="192"/>
      <c r="AL15" s="192"/>
      <c r="AM15" s="192"/>
      <c r="AN15" s="193"/>
      <c r="AO15" s="2"/>
      <c r="AP15" s="181"/>
      <c r="AQ15" s="182"/>
      <c r="AR15" s="183"/>
      <c r="AT15" s="187"/>
      <c r="AU15" s="182"/>
      <c r="AV15" s="182"/>
      <c r="AW15" s="182"/>
      <c r="AX15" s="188"/>
      <c r="AY15" s="27"/>
      <c r="AZ15" s="181"/>
      <c r="BA15" s="183"/>
    </row>
    <row r="16" spans="1:53" s="5" customFormat="1" ht="166.5" customHeight="1" thickBot="1" x14ac:dyDescent="0.35">
      <c r="A16" s="9" t="s">
        <v>22</v>
      </c>
      <c r="B16" s="10" t="s">
        <v>23</v>
      </c>
      <c r="C16" s="11" t="s">
        <v>24</v>
      </c>
      <c r="D16" s="11" t="s">
        <v>25</v>
      </c>
      <c r="E16" s="12" t="s">
        <v>26</v>
      </c>
      <c r="F16" s="19" t="s">
        <v>27</v>
      </c>
      <c r="G16" s="29" t="s">
        <v>28</v>
      </c>
      <c r="H16" s="12" t="s">
        <v>29</v>
      </c>
      <c r="I16" s="11" t="s">
        <v>30</v>
      </c>
      <c r="J16" s="11" t="s">
        <v>31</v>
      </c>
      <c r="K16" s="12" t="s">
        <v>32</v>
      </c>
      <c r="L16" s="12" t="s">
        <v>33</v>
      </c>
      <c r="M16" s="11" t="s">
        <v>30</v>
      </c>
      <c r="N16" s="11" t="s">
        <v>34</v>
      </c>
      <c r="O16" s="13" t="s">
        <v>35</v>
      </c>
      <c r="P16" s="2"/>
      <c r="Q16" s="14" t="s">
        <v>36</v>
      </c>
      <c r="R16" s="38" t="s">
        <v>37</v>
      </c>
      <c r="S16" s="38" t="s">
        <v>38</v>
      </c>
      <c r="T16" s="38" t="s">
        <v>39</v>
      </c>
      <c r="U16" s="38" t="s">
        <v>40</v>
      </c>
      <c r="V16" s="38" t="s">
        <v>41</v>
      </c>
      <c r="W16" s="38" t="s">
        <v>42</v>
      </c>
      <c r="X16" s="25" t="s">
        <v>43</v>
      </c>
      <c r="Y16" s="44" t="s">
        <v>44</v>
      </c>
      <c r="Z16" s="44" t="s">
        <v>45</v>
      </c>
      <c r="AA16" s="16" t="s">
        <v>46</v>
      </c>
      <c r="AB16" s="316" t="s">
        <v>47</v>
      </c>
      <c r="AC16" s="317"/>
      <c r="AD16" s="16" t="s">
        <v>48</v>
      </c>
      <c r="AE16" s="161" t="s">
        <v>49</v>
      </c>
      <c r="AF16" s="162"/>
      <c r="AG16" s="17" t="s">
        <v>50</v>
      </c>
      <c r="AH16" s="17" t="s">
        <v>51</v>
      </c>
      <c r="AI16" s="17" t="s">
        <v>30</v>
      </c>
      <c r="AJ16" s="17" t="s">
        <v>52</v>
      </c>
      <c r="AK16" s="17" t="s">
        <v>30</v>
      </c>
      <c r="AL16" s="17" t="s">
        <v>34</v>
      </c>
      <c r="AM16" s="17" t="s">
        <v>53</v>
      </c>
      <c r="AN16" s="13" t="s">
        <v>54</v>
      </c>
      <c r="AO16" s="2"/>
      <c r="AP16" s="18" t="s">
        <v>55</v>
      </c>
      <c r="AQ16" s="15" t="s">
        <v>56</v>
      </c>
      <c r="AR16" s="26" t="s">
        <v>57</v>
      </c>
      <c r="AT16" s="40" t="s">
        <v>58</v>
      </c>
      <c r="AU16" s="42" t="s">
        <v>59</v>
      </c>
      <c r="AV16" s="42" t="s">
        <v>60</v>
      </c>
      <c r="AW16" s="42" t="s">
        <v>61</v>
      </c>
      <c r="AX16" s="41" t="s">
        <v>62</v>
      </c>
      <c r="AY16" s="28"/>
      <c r="AZ16" s="43" t="s">
        <v>63</v>
      </c>
      <c r="BA16" s="318" t="s">
        <v>64</v>
      </c>
    </row>
    <row r="17" spans="1:53" ht="353.25" customHeight="1" x14ac:dyDescent="0.3">
      <c r="A17" s="278">
        <v>2</v>
      </c>
      <c r="B17" s="237" t="s">
        <v>65</v>
      </c>
      <c r="C17" s="165" t="s">
        <v>440</v>
      </c>
      <c r="D17" s="319" t="s">
        <v>441</v>
      </c>
      <c r="E17" s="165" t="s">
        <v>442</v>
      </c>
      <c r="F17" s="165"/>
      <c r="G17" s="280">
        <v>295</v>
      </c>
      <c r="H17" s="160" t="str">
        <f>IF(G17&lt;=0,"",IF(G17&lt;=2,"Muy Baja",IF(G17&lt;=24,"Baja",IF(G17&lt;=500,"Media",IF(G17&lt;=5000,"Alta","Muy Alta")))))</f>
        <v>Media</v>
      </c>
      <c r="I17" s="157">
        <f>IF(H17="","",IF(H17="Muy Baja",0.2,IF(H17="Baja",0.4,IF(H17="Media",0.6,IF(H17="Alta",0.8,IF(H17="Muy Alta",1,))))))</f>
        <v>0.6</v>
      </c>
      <c r="J17" s="281" t="s">
        <v>149</v>
      </c>
      <c r="K17" s="282" t="str">
        <f>+J17</f>
        <v>El riesgo afecta la imagen de la entidad internamente, de conocimiento general nivel interno, de junta directiva y/o de proveedores</v>
      </c>
      <c r="L17" s="160" t="str">
        <f>+VLOOKUP(K17,[3]Datos!$O$4:$P$15,2,FALSE)</f>
        <v>Menor</v>
      </c>
      <c r="M17" s="157">
        <f>IF(L17="","",IF(L17="Leve",0.2,IF(L17="Menor",0.4,IF(L17="Moderado",0.6,IF(L17="Mayor",0.8,IF(L17="Catastrófico",1,))))))</f>
        <v>0.4</v>
      </c>
      <c r="N17" s="283" t="str">
        <f>+CONCATENATE(H17, " - ", L17)</f>
        <v>Media - Menor</v>
      </c>
      <c r="O17" s="284" t="str">
        <f>+VLOOKUP(N17,[3]Datos!J4:K28,2,)</f>
        <v>MODERADO</v>
      </c>
      <c r="P17" s="320"/>
      <c r="Q17" s="321">
        <v>1</v>
      </c>
      <c r="R17" s="322" t="s">
        <v>443</v>
      </c>
      <c r="S17" s="364" t="s">
        <v>444</v>
      </c>
      <c r="T17" s="322" t="s">
        <v>390</v>
      </c>
      <c r="U17" s="322" t="s">
        <v>391</v>
      </c>
      <c r="V17" s="322" t="s">
        <v>392</v>
      </c>
      <c r="W17" s="364" t="s">
        <v>393</v>
      </c>
      <c r="X17" s="30" t="str">
        <f>IF(OR(Y17="Preventivo",Y17="Detectivo"),"Probabilidad",IF(Y17="Correctivo","Impacto",""))</f>
        <v>Probabilidad</v>
      </c>
      <c r="Y17" s="6" t="s">
        <v>76</v>
      </c>
      <c r="Z17" s="6" t="s">
        <v>77</v>
      </c>
      <c r="AA17" s="31" t="str">
        <f t="shared" ref="AA17:AA18" si="0">IF(AND(Y17="Preventivo",Z17="Automático"),"50%",IF(AND(Y17="Preventivo",Z17="Manual"),"40%",IF(AND(Y17="Detectivo",Z17="Automático"),"40%",IF(AND(Y17="Detectivo",Z17="Manual"),"30%",IF(AND(Y17="Correctivo",Z17="Automático"),"35%",IF(AND(Y17="Correctivo",Z17="Manual"),"25%",""))))))</f>
        <v>40%</v>
      </c>
      <c r="AB17" s="8" t="s">
        <v>78</v>
      </c>
      <c r="AC17" s="365" t="s">
        <v>445</v>
      </c>
      <c r="AD17" s="6" t="s">
        <v>99</v>
      </c>
      <c r="AE17" s="8" t="s">
        <v>81</v>
      </c>
      <c r="AF17" s="8" t="str">
        <f>+W17</f>
        <v>Memorando</v>
      </c>
      <c r="AG17" s="32">
        <f>IFERROR(IF(X17="Probabilidad",(I17-(+I17*AA17)),IF(X17="Impacto",I17,"")),"")</f>
        <v>0.36</v>
      </c>
      <c r="AH17" s="33" t="str">
        <f t="shared" ref="AH17:AH18" si="1">IFERROR(IF(AG17="","",IF(AG17&lt;=0.2,"Muy Baja",IF(AG17&lt;=0.4,"Baja",IF(AG17&lt;=0.6,"Media",IF(AG17&lt;=0.8,"Alta","Muy Alta"))))),"")</f>
        <v>Baja</v>
      </c>
      <c r="AI17" s="34">
        <f>I17-(AA17*I17)</f>
        <v>0.36</v>
      </c>
      <c r="AJ17" s="35" t="str">
        <f t="shared" ref="AJ17:AJ18" si="2">IFERROR(IF(AK17="","",IF(AK17&lt;=0.2,"Leve",IF(AK17&lt;=0.4,"Menor",IF(AK17&lt;=0.6,"Moderado",IF(AK17&lt;=0.8,"Mayor","Catastrófico"))))),"")</f>
        <v>Menor</v>
      </c>
      <c r="AK17" s="32">
        <f>IFERROR(IF(X17="Impacto",(M17-(+M17*AA17)),IF(X17="Probabilidad",M17,"")),"")</f>
        <v>0.4</v>
      </c>
      <c r="AL17" s="36" t="str">
        <f>+CONCATENATE(AH17, " - ", AJ17)</f>
        <v>Baja - Menor</v>
      </c>
      <c r="AM17" s="37" t="str">
        <f>+VLOOKUP(AL17,[3]Datos!$J$4:$K$28,2,)</f>
        <v>MODERADO</v>
      </c>
      <c r="AN17" s="324" t="s">
        <v>82</v>
      </c>
      <c r="AO17" s="320"/>
      <c r="AP17" s="366" t="s">
        <v>446</v>
      </c>
      <c r="AQ17" s="271" t="s">
        <v>447</v>
      </c>
      <c r="AR17" s="286" t="s">
        <v>448</v>
      </c>
      <c r="AT17" s="326">
        <v>46159</v>
      </c>
      <c r="AU17" s="344" t="s">
        <v>449</v>
      </c>
      <c r="AV17" s="367" t="s">
        <v>450</v>
      </c>
      <c r="AW17" s="368" t="s">
        <v>302</v>
      </c>
      <c r="AX17" s="369" t="s">
        <v>172</v>
      </c>
      <c r="AY17" s="28"/>
      <c r="AZ17" s="370" t="s">
        <v>451</v>
      </c>
      <c r="BA17" s="330" t="s">
        <v>452</v>
      </c>
    </row>
    <row r="18" spans="1:53" ht="353.25" customHeight="1" x14ac:dyDescent="0.3">
      <c r="A18" s="278"/>
      <c r="B18" s="237"/>
      <c r="C18" s="165"/>
      <c r="D18" s="347"/>
      <c r="E18" s="165"/>
      <c r="F18" s="165"/>
      <c r="G18" s="280"/>
      <c r="H18" s="160"/>
      <c r="I18" s="157"/>
      <c r="J18" s="349"/>
      <c r="K18" s="350"/>
      <c r="L18" s="160"/>
      <c r="M18" s="157"/>
      <c r="N18" s="351"/>
      <c r="O18" s="352"/>
      <c r="P18" s="353"/>
      <c r="Q18" s="321">
        <v>2</v>
      </c>
      <c r="R18" s="322" t="s">
        <v>443</v>
      </c>
      <c r="S18" s="322" t="s">
        <v>453</v>
      </c>
      <c r="T18" s="322" t="s">
        <v>454</v>
      </c>
      <c r="U18" s="322" t="s">
        <v>455</v>
      </c>
      <c r="V18" s="322" t="s">
        <v>456</v>
      </c>
      <c r="W18" s="322" t="s">
        <v>457</v>
      </c>
      <c r="X18" s="30" t="str">
        <f t="shared" ref="X18" si="3">IF(OR(Y18="Preventivo",Y18="Detectivo"),"Probabilidad",IF(Y18="Correctivo","Impacto",""))</f>
        <v>Impacto</v>
      </c>
      <c r="Y18" s="6" t="s">
        <v>151</v>
      </c>
      <c r="Z18" s="6" t="s">
        <v>77</v>
      </c>
      <c r="AA18" s="31" t="str">
        <f t="shared" si="0"/>
        <v>25%</v>
      </c>
      <c r="AB18" s="8" t="s">
        <v>153</v>
      </c>
      <c r="AC18" s="242" t="s">
        <v>458</v>
      </c>
      <c r="AD18" s="6" t="s">
        <v>99</v>
      </c>
      <c r="AE18" s="8" t="s">
        <v>81</v>
      </c>
      <c r="AF18" s="8" t="str">
        <f>+W18</f>
        <v>Memorandos de respuestas 
Listado de asistencia (Cuando aplique)</v>
      </c>
      <c r="AG18" s="371">
        <f t="shared" ref="AG18" si="4">IFERROR(IF(AND(X17="Probabilidad",X18="Probabilidad"),(AI17-(+AI17*AA18)),IF(X18="Probabilidad",($I$17-(+$I$17*AA18)),IF(X18="Impacto",AI17,""))),"")</f>
        <v>0.36</v>
      </c>
      <c r="AH18" s="33" t="str">
        <f t="shared" si="1"/>
        <v>Baja</v>
      </c>
      <c r="AI18" s="34">
        <f t="shared" ref="AI18" si="5">+AG18</f>
        <v>0.36</v>
      </c>
      <c r="AJ18" s="35" t="str">
        <f t="shared" si="2"/>
        <v>Menor</v>
      </c>
      <c r="AK18" s="354">
        <f t="shared" ref="AK18" si="6">IFERROR(IF(AND(X17="Impacto",X17="Impacto"),(AK17-(+AK17*AA18)),IF(X18="Impacto",($M$17-(+$M$17*AA18)),IF(X18="Probabilidad",AK17,""))),"")</f>
        <v>0.30000000000000004</v>
      </c>
      <c r="AL18" s="36" t="str">
        <f t="shared" ref="AL18" si="7">+CONCATENATE(AH18, " - ", AJ18)</f>
        <v>Baja - Menor</v>
      </c>
      <c r="AM18" s="37" t="str">
        <f>+VLOOKUP(AL18,[3]Datos!$J$4:$K$28,2,)</f>
        <v>MODERADO</v>
      </c>
      <c r="AN18" s="324"/>
      <c r="AO18" s="353"/>
      <c r="AP18" s="366"/>
      <c r="AQ18" s="271"/>
      <c r="AR18" s="286"/>
      <c r="AS18" s="355"/>
      <c r="AT18" s="326">
        <v>46159</v>
      </c>
      <c r="AU18" s="344" t="s">
        <v>459</v>
      </c>
      <c r="AV18" s="372"/>
      <c r="AW18" s="373"/>
      <c r="AX18" s="374"/>
      <c r="AY18" s="358"/>
      <c r="AZ18" s="370" t="s">
        <v>460</v>
      </c>
      <c r="BA18" s="342" t="s">
        <v>461</v>
      </c>
    </row>
    <row r="19" spans="1:53" s="375" customFormat="1" ht="93.75" customHeight="1" x14ac:dyDescent="0.3">
      <c r="B19" s="359"/>
      <c r="C19" s="376"/>
      <c r="D19" s="376"/>
      <c r="E19" s="376"/>
      <c r="F19" s="376"/>
      <c r="G19" s="359"/>
      <c r="H19" s="359"/>
      <c r="I19" s="360"/>
      <c r="J19" s="361"/>
      <c r="K19" s="362"/>
      <c r="L19" s="359"/>
      <c r="M19" s="360"/>
      <c r="N19" s="360"/>
      <c r="O19" s="363"/>
      <c r="P19" s="377"/>
      <c r="Q19" s="378"/>
      <c r="R19" s="379"/>
      <c r="S19" s="379"/>
      <c r="T19" s="379"/>
      <c r="U19" s="379"/>
      <c r="V19" s="379"/>
      <c r="W19" s="379"/>
      <c r="X19" s="378"/>
      <c r="Y19" s="380"/>
      <c r="Z19" s="380"/>
      <c r="AA19" s="381"/>
      <c r="AB19" s="382"/>
      <c r="AC19" s="383"/>
      <c r="AD19" s="380"/>
      <c r="AE19" s="382"/>
      <c r="AF19" s="382"/>
      <c r="AG19" s="384"/>
      <c r="AH19" s="380"/>
      <c r="AI19" s="385"/>
      <c r="AJ19" s="386"/>
      <c r="AK19" s="384"/>
      <c r="AL19" s="387"/>
      <c r="AM19" s="388"/>
      <c r="AN19" s="389"/>
      <c r="AO19" s="377"/>
      <c r="AP19" s="390"/>
      <c r="AQ19" s="390"/>
      <c r="AR19" s="390"/>
      <c r="AT19" s="391"/>
      <c r="AU19" s="392"/>
      <c r="AV19" s="393"/>
      <c r="AW19" s="394"/>
      <c r="AX19" s="395"/>
      <c r="AY19" s="396"/>
      <c r="AZ19" s="393"/>
      <c r="BA19" s="397"/>
    </row>
    <row r="20" spans="1:53" ht="20.399999999999999" x14ac:dyDescent="0.3">
      <c r="A20" s="152" t="s">
        <v>103</v>
      </c>
      <c r="B20" s="152"/>
      <c r="C20" s="152"/>
      <c r="D20" s="152"/>
      <c r="E20" s="152"/>
      <c r="F20" s="152"/>
      <c r="G20" s="152"/>
      <c r="H20" s="152"/>
      <c r="P20" s="2"/>
      <c r="BA20" s="39" t="s">
        <v>104</v>
      </c>
    </row>
    <row r="21" spans="1:53" x14ac:dyDescent="0.3">
      <c r="P21" s="2"/>
    </row>
    <row r="22" spans="1:53" s="1" customFormat="1" x14ac:dyDescent="0.3">
      <c r="A22"/>
      <c r="B22"/>
      <c r="C22"/>
      <c r="D22"/>
      <c r="E22"/>
      <c r="F22"/>
      <c r="G22"/>
      <c r="H22"/>
      <c r="I22"/>
      <c r="J22"/>
      <c r="K22"/>
      <c r="P22" s="2"/>
      <c r="AN22" s="4"/>
      <c r="AO22" s="4"/>
      <c r="AP22" s="4"/>
      <c r="AS22"/>
      <c r="AT22"/>
      <c r="AU22"/>
      <c r="AV22"/>
      <c r="AW22"/>
      <c r="AX22"/>
      <c r="AY22"/>
      <c r="AZ22"/>
      <c r="BA22"/>
    </row>
    <row r="23" spans="1:53" s="1" customFormat="1" x14ac:dyDescent="0.3">
      <c r="A23"/>
      <c r="B23"/>
      <c r="C23"/>
      <c r="D23"/>
      <c r="E23"/>
      <c r="F23"/>
      <c r="G23"/>
      <c r="H23"/>
      <c r="I23"/>
      <c r="J23"/>
      <c r="K23"/>
      <c r="P23" s="2"/>
      <c r="AN23" s="4"/>
      <c r="AO23" s="4"/>
      <c r="AP23" s="4"/>
      <c r="AS23"/>
      <c r="AT23"/>
      <c r="AU23"/>
      <c r="AV23"/>
      <c r="AW23"/>
      <c r="AX23"/>
      <c r="AY23"/>
      <c r="AZ23"/>
      <c r="BA23"/>
    </row>
    <row r="24" spans="1:53" s="1" customFormat="1" x14ac:dyDescent="0.3">
      <c r="A24"/>
      <c r="B24"/>
      <c r="C24"/>
      <c r="D24"/>
      <c r="E24"/>
      <c r="F24"/>
      <c r="G24"/>
      <c r="H24"/>
      <c r="I24"/>
      <c r="J24"/>
      <c r="K24"/>
      <c r="P24" s="2"/>
      <c r="AN24" s="4"/>
      <c r="AO24" s="4"/>
      <c r="AP24" s="4"/>
      <c r="AS24"/>
      <c r="AT24"/>
      <c r="AU24"/>
      <c r="AV24"/>
      <c r="AW24"/>
      <c r="AX24"/>
      <c r="AY24"/>
      <c r="AZ24"/>
      <c r="BA24"/>
    </row>
    <row r="25" spans="1:53" s="1" customFormat="1" x14ac:dyDescent="0.3">
      <c r="A25"/>
      <c r="B25"/>
      <c r="C25"/>
      <c r="D25"/>
      <c r="E25"/>
      <c r="F25"/>
      <c r="G25"/>
      <c r="H25"/>
      <c r="I25"/>
      <c r="J25"/>
      <c r="K25"/>
      <c r="P25" s="2"/>
      <c r="AN25" s="4"/>
      <c r="AO25" s="4"/>
      <c r="AP25" s="4"/>
      <c r="AS25"/>
      <c r="AT25"/>
      <c r="AU25"/>
      <c r="AV25"/>
      <c r="AW25"/>
      <c r="AX25"/>
      <c r="AY25"/>
      <c r="AZ25"/>
      <c r="BA25"/>
    </row>
    <row r="26" spans="1:53" s="1" customFormat="1" x14ac:dyDescent="0.3">
      <c r="A26"/>
      <c r="B26"/>
      <c r="C26"/>
      <c r="D26"/>
      <c r="E26"/>
      <c r="F26"/>
      <c r="G26"/>
      <c r="H26"/>
      <c r="I26"/>
      <c r="J26"/>
      <c r="K26"/>
      <c r="P26" s="2"/>
      <c r="AN26" s="4"/>
      <c r="AO26" s="4"/>
      <c r="AP26" s="4"/>
      <c r="AS26"/>
      <c r="AT26"/>
      <c r="AU26"/>
      <c r="AV26"/>
      <c r="AW26"/>
      <c r="AX26"/>
      <c r="AY26"/>
      <c r="AZ26"/>
      <c r="BA26"/>
    </row>
    <row r="27" spans="1:53" s="1" customFormat="1" x14ac:dyDescent="0.3">
      <c r="A27"/>
      <c r="B27"/>
      <c r="C27"/>
      <c r="D27"/>
      <c r="E27"/>
      <c r="F27"/>
      <c r="G27"/>
      <c r="H27"/>
      <c r="I27"/>
      <c r="J27"/>
      <c r="K27"/>
      <c r="P27" s="2"/>
      <c r="AN27" s="4"/>
      <c r="AO27" s="4"/>
      <c r="AP27" s="4"/>
      <c r="AS27"/>
      <c r="AT27"/>
      <c r="AU27"/>
      <c r="AV27"/>
      <c r="AW27"/>
      <c r="AX27"/>
      <c r="AY27"/>
      <c r="AZ27"/>
      <c r="BA27"/>
    </row>
    <row r="28" spans="1:53" s="1" customFormat="1" x14ac:dyDescent="0.3">
      <c r="A28"/>
      <c r="B28"/>
      <c r="C28"/>
      <c r="D28"/>
      <c r="E28"/>
      <c r="F28"/>
      <c r="G28"/>
      <c r="H28"/>
      <c r="I28"/>
      <c r="J28"/>
      <c r="K28"/>
      <c r="P28" s="2"/>
      <c r="AN28" s="4"/>
      <c r="AO28" s="4"/>
      <c r="AP28" s="4"/>
      <c r="AS28"/>
      <c r="AT28"/>
      <c r="AU28"/>
      <c r="AV28"/>
      <c r="AW28"/>
      <c r="AX28"/>
      <c r="AY28"/>
      <c r="AZ28"/>
      <c r="BA28"/>
    </row>
  </sheetData>
  <mergeCells count="50">
    <mergeCell ref="AW17:AW18"/>
    <mergeCell ref="AX17:AX18"/>
    <mergeCell ref="A20:H20"/>
    <mergeCell ref="O17:O18"/>
    <mergeCell ref="AN17:AN18"/>
    <mergeCell ref="AP17:AP18"/>
    <mergeCell ref="AQ17:AQ18"/>
    <mergeCell ref="AR17:AR18"/>
    <mergeCell ref="AV17:AV18"/>
    <mergeCell ref="I17:I18"/>
    <mergeCell ref="J17:J18"/>
    <mergeCell ref="K17:K18"/>
    <mergeCell ref="L17:L18"/>
    <mergeCell ref="M17:M18"/>
    <mergeCell ref="N17:N18"/>
    <mergeCell ref="AB16:AC16"/>
    <mergeCell ref="AE16:AF16"/>
    <mergeCell ref="A17:A18"/>
    <mergeCell ref="B17:B18"/>
    <mergeCell ref="C17:C18"/>
    <mergeCell ref="D17:D18"/>
    <mergeCell ref="E17:E18"/>
    <mergeCell ref="F17:F18"/>
    <mergeCell ref="G17:G18"/>
    <mergeCell ref="H17:H18"/>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19">
    <cfRule type="cellIs" dxfId="267" priority="20" operator="equal">
      <formula>"Muy Alta"</formula>
    </cfRule>
    <cfRule type="cellIs" dxfId="266" priority="21" operator="equal">
      <formula>"Alta"</formula>
    </cfRule>
    <cfRule type="cellIs" dxfId="265" priority="22" operator="equal">
      <formula>"Media"</formula>
    </cfRule>
    <cfRule type="cellIs" dxfId="264" priority="23" operator="equal">
      <formula>"Muy Baja"</formula>
    </cfRule>
    <cfRule type="cellIs" dxfId="263" priority="24" operator="equal">
      <formula>"Baja"</formula>
    </cfRule>
  </conditionalFormatting>
  <conditionalFormatting sqref="L17:L19">
    <cfRule type="cellIs" dxfId="262" priority="15" operator="equal">
      <formula>"Leve"</formula>
    </cfRule>
    <cfRule type="cellIs" dxfId="261" priority="16" operator="equal">
      <formula>"Catastrófico"</formula>
    </cfRule>
    <cfRule type="cellIs" dxfId="260" priority="17" operator="equal">
      <formula>"Mayor"</formula>
    </cfRule>
    <cfRule type="cellIs" dxfId="259" priority="18" operator="equal">
      <formula>"Moderado"</formula>
    </cfRule>
    <cfRule type="cellIs" dxfId="258" priority="19" operator="equal">
      <formula>"Menor"</formula>
    </cfRule>
  </conditionalFormatting>
  <conditionalFormatting sqref="O17:O19 AM17:AM19">
    <cfRule type="cellIs" dxfId="257" priority="11" operator="equal">
      <formula>"EXTREMO"</formula>
    </cfRule>
    <cfRule type="cellIs" dxfId="256" priority="12" operator="equal">
      <formula>"ALTO"</formula>
    </cfRule>
    <cfRule type="cellIs" dxfId="255" priority="13" operator="equal">
      <formula>"BAJO"</formula>
    </cfRule>
    <cfRule type="cellIs" dxfId="254" priority="14" operator="equal">
      <formula>"MODERADO"</formula>
    </cfRule>
  </conditionalFormatting>
  <conditionalFormatting sqref="AH17:AH19">
    <cfRule type="cellIs" dxfId="253" priority="6" operator="equal">
      <formula>"Muy Baja"</formula>
    </cfRule>
    <cfRule type="cellIs" dxfId="252" priority="7" operator="equal">
      <formula>"Baja"</formula>
    </cfRule>
    <cfRule type="cellIs" dxfId="251" priority="8" operator="equal">
      <formula>"Media"</formula>
    </cfRule>
    <cfRule type="cellIs" dxfId="250" priority="9" operator="equal">
      <formula>"Muy Alta"</formula>
    </cfRule>
    <cfRule type="cellIs" dxfId="249" priority="10" operator="equal">
      <formula>"Alta"</formula>
    </cfRule>
  </conditionalFormatting>
  <conditionalFormatting sqref="AJ17:AJ19">
    <cfRule type="cellIs" dxfId="248" priority="1" operator="equal">
      <formula>"Catastrófico"</formula>
    </cfRule>
    <cfRule type="cellIs" dxfId="247" priority="2" operator="equal">
      <formula>"Mayor"</formula>
    </cfRule>
    <cfRule type="cellIs" dxfId="246" priority="3" operator="equal">
      <formula>"Moderado"</formula>
    </cfRule>
    <cfRule type="cellIs" dxfId="245" priority="4" operator="equal">
      <formula>"Menor"</formula>
    </cfRule>
    <cfRule type="cellIs" dxfId="244" priority="5" operator="equal">
      <formula>"Leve"</formula>
    </cfRule>
  </conditionalFormatting>
  <hyperlinks>
    <hyperlink ref="A14:O15" location="Instructivo!A1" display="IDENTIFICACIÓN DEL RIESGO" xr:uid="{0B8088DE-04C6-4711-BA91-4EBCA74806DE}"/>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D2A29-CCAF-4EDF-8B7D-A0F29ACEA74B}">
  <sheetPr>
    <tabColor theme="0"/>
    <pageSetUpPr fitToPage="1"/>
  </sheetPr>
  <dimension ref="A1:BA29"/>
  <sheetViews>
    <sheetView showGridLines="0" topLeftCell="AW19" zoomScale="70" zoomScaleNormal="70" zoomScaleSheetLayoutView="80" workbookViewId="0">
      <selection activeCell="L23" sqref="L23"/>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6640625" customWidth="1"/>
    <col min="12" max="12" width="20.109375" style="1" customWidth="1"/>
    <col min="13" max="13" width="9.44140625" style="1" customWidth="1"/>
    <col min="14" max="14" width="26.6640625" style="1" customWidth="1"/>
    <col min="15" max="15" width="11.33203125" style="1" customWidth="1"/>
    <col min="16" max="16" width="1" style="1" customWidth="1"/>
    <col min="17" max="17" width="5.109375" style="1" customWidth="1"/>
    <col min="18" max="23" width="46.6640625" style="1" customWidth="1"/>
    <col min="24" max="24" width="15.6640625" style="1" customWidth="1"/>
    <col min="25" max="27" width="10.33203125" style="1" customWidth="1"/>
    <col min="28" max="28" width="6" style="1" customWidth="1"/>
    <col min="29" max="29" width="13.6640625" style="1" customWidth="1"/>
    <col min="30" max="30" width="7.44140625" style="1" customWidth="1"/>
    <col min="31" max="31" width="5.6640625" style="1" customWidth="1"/>
    <col min="32" max="32" width="17" style="1" customWidth="1"/>
    <col min="33" max="33" width="11.6640625" style="1" customWidth="1"/>
    <col min="34" max="34" width="7.33203125" style="1" customWidth="1"/>
    <col min="35" max="35" width="10.6640625" style="1" customWidth="1"/>
    <col min="36" max="36" width="8" style="1" customWidth="1"/>
    <col min="37" max="38" width="7.33203125" style="1" customWidth="1"/>
    <col min="39" max="39" width="9.33203125" style="1" customWidth="1"/>
    <col min="40" max="40" width="8.44140625" style="4" customWidth="1"/>
    <col min="41" max="41" width="1" style="4" customWidth="1"/>
    <col min="42" max="42" width="26.6640625" style="4" customWidth="1"/>
    <col min="43" max="43" width="26.6640625" style="1" customWidth="1"/>
    <col min="44" max="44" width="20.6640625" style="1" customWidth="1"/>
    <col min="45" max="45" width="1" customWidth="1"/>
    <col min="46" max="46" width="18.33203125" customWidth="1"/>
    <col min="47" max="50" width="45" customWidth="1"/>
    <col min="51" max="51" width="1" customWidth="1"/>
    <col min="52" max="53" width="4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4</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7"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284</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45828</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29" t="s">
        <v>462</v>
      </c>
      <c r="E10" s="230"/>
      <c r="F10" s="230"/>
      <c r="G10" s="230"/>
      <c r="H10" s="230"/>
      <c r="I10" s="230"/>
      <c r="J10" s="230"/>
      <c r="K10" s="230"/>
      <c r="L10" s="230"/>
      <c r="M10" s="231"/>
      <c r="N10" s="21"/>
      <c r="AN10" s="1"/>
      <c r="AO10" s="1"/>
      <c r="AP10" s="1"/>
    </row>
    <row r="11" spans="1:53" s="3" customFormat="1" ht="75" customHeight="1" x14ac:dyDescent="0.3">
      <c r="A11" s="194" t="s">
        <v>11</v>
      </c>
      <c r="B11" s="194"/>
      <c r="C11" s="194"/>
      <c r="D11" s="233" t="s">
        <v>463</v>
      </c>
      <c r="E11" s="234"/>
      <c r="F11" s="234"/>
      <c r="G11" s="234"/>
      <c r="H11" s="234"/>
      <c r="I11" s="234"/>
      <c r="J11" s="234"/>
      <c r="K11" s="234"/>
      <c r="L11" s="234"/>
      <c r="M11" s="235"/>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94" t="s">
        <v>13</v>
      </c>
      <c r="B12" s="194"/>
      <c r="C12" s="194"/>
      <c r="D12" s="233" t="s">
        <v>464</v>
      </c>
      <c r="E12" s="234"/>
      <c r="F12" s="234"/>
      <c r="G12" s="234"/>
      <c r="H12" s="234"/>
      <c r="I12" s="234"/>
      <c r="J12" s="234"/>
      <c r="K12" s="234"/>
      <c r="L12" s="234"/>
      <c r="M12" s="235"/>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66" t="s">
        <v>15</v>
      </c>
      <c r="B14" s="167"/>
      <c r="C14" s="167"/>
      <c r="D14" s="167"/>
      <c r="E14" s="167"/>
      <c r="F14" s="167"/>
      <c r="G14" s="167"/>
      <c r="H14" s="167"/>
      <c r="I14" s="167"/>
      <c r="J14" s="167"/>
      <c r="K14" s="167"/>
      <c r="L14" s="167"/>
      <c r="M14" s="167"/>
      <c r="N14" s="168"/>
      <c r="O14" s="169"/>
      <c r="P14" s="2"/>
      <c r="Q14" s="174" t="s">
        <v>16</v>
      </c>
      <c r="R14" s="175"/>
      <c r="S14" s="175"/>
      <c r="T14" s="175"/>
      <c r="U14" s="175"/>
      <c r="V14" s="175"/>
      <c r="W14" s="175"/>
      <c r="X14" s="175"/>
      <c r="Y14" s="176"/>
      <c r="Z14" s="176"/>
      <c r="AA14" s="176"/>
      <c r="AB14" s="176"/>
      <c r="AC14" s="176"/>
      <c r="AD14" s="176"/>
      <c r="AE14" s="176"/>
      <c r="AF14" s="175"/>
      <c r="AG14" s="175"/>
      <c r="AH14" s="175"/>
      <c r="AI14" s="175"/>
      <c r="AJ14" s="175"/>
      <c r="AK14" s="175"/>
      <c r="AL14" s="175"/>
      <c r="AM14" s="175"/>
      <c r="AN14" s="177"/>
      <c r="AO14" s="2"/>
      <c r="AP14" s="178" t="s">
        <v>17</v>
      </c>
      <c r="AQ14" s="179"/>
      <c r="AR14" s="180"/>
      <c r="AT14" s="184" t="s">
        <v>18</v>
      </c>
      <c r="AU14" s="185"/>
      <c r="AV14" s="185"/>
      <c r="AW14" s="185"/>
      <c r="AX14" s="186"/>
      <c r="AY14" s="27"/>
      <c r="AZ14" s="178" t="s">
        <v>19</v>
      </c>
      <c r="BA14" s="180"/>
    </row>
    <row r="15" spans="1:53" x14ac:dyDescent="0.3">
      <c r="A15" s="170"/>
      <c r="B15" s="171"/>
      <c r="C15" s="171"/>
      <c r="D15" s="171"/>
      <c r="E15" s="171"/>
      <c r="F15" s="171"/>
      <c r="G15" s="171"/>
      <c r="H15" s="171"/>
      <c r="I15" s="171"/>
      <c r="J15" s="171"/>
      <c r="K15" s="171"/>
      <c r="L15" s="171"/>
      <c r="M15" s="171"/>
      <c r="N15" s="172"/>
      <c r="O15" s="173"/>
      <c r="P15" s="2"/>
      <c r="Q15" s="23"/>
      <c r="R15" s="24"/>
      <c r="S15" s="24"/>
      <c r="T15" s="24"/>
      <c r="U15" s="24"/>
      <c r="V15" s="24"/>
      <c r="W15" s="24"/>
      <c r="X15" s="24"/>
      <c r="Y15" s="189" t="s">
        <v>20</v>
      </c>
      <c r="Z15" s="190"/>
      <c r="AA15" s="191"/>
      <c r="AB15" s="189" t="s">
        <v>21</v>
      </c>
      <c r="AC15" s="190"/>
      <c r="AD15" s="190"/>
      <c r="AE15" s="190"/>
      <c r="AF15" s="191"/>
      <c r="AG15" s="192"/>
      <c r="AH15" s="192"/>
      <c r="AI15" s="192"/>
      <c r="AJ15" s="192"/>
      <c r="AK15" s="192"/>
      <c r="AL15" s="192"/>
      <c r="AM15" s="192"/>
      <c r="AN15" s="193"/>
      <c r="AO15" s="2"/>
      <c r="AP15" s="181"/>
      <c r="AQ15" s="182"/>
      <c r="AR15" s="183"/>
      <c r="AT15" s="187"/>
      <c r="AU15" s="182"/>
      <c r="AV15" s="182"/>
      <c r="AW15" s="182"/>
      <c r="AX15" s="188"/>
      <c r="AY15" s="27"/>
      <c r="AZ15" s="181"/>
      <c r="BA15" s="183"/>
    </row>
    <row r="16" spans="1:53" s="5" customFormat="1" ht="166.5" customHeight="1" thickBot="1" x14ac:dyDescent="0.35">
      <c r="A16" s="9" t="s">
        <v>22</v>
      </c>
      <c r="B16" s="10" t="s">
        <v>23</v>
      </c>
      <c r="C16" s="11" t="s">
        <v>24</v>
      </c>
      <c r="D16" s="11" t="s">
        <v>25</v>
      </c>
      <c r="E16" s="12" t="s">
        <v>26</v>
      </c>
      <c r="F16" s="19" t="s">
        <v>27</v>
      </c>
      <c r="G16" s="29" t="s">
        <v>28</v>
      </c>
      <c r="H16" s="12" t="s">
        <v>29</v>
      </c>
      <c r="I16" s="11" t="s">
        <v>30</v>
      </c>
      <c r="J16" s="11" t="s">
        <v>31</v>
      </c>
      <c r="K16" s="12" t="s">
        <v>32</v>
      </c>
      <c r="L16" s="12" t="s">
        <v>33</v>
      </c>
      <c r="M16" s="11" t="s">
        <v>30</v>
      </c>
      <c r="N16" s="11" t="s">
        <v>34</v>
      </c>
      <c r="O16" s="13" t="s">
        <v>35</v>
      </c>
      <c r="P16" s="2"/>
      <c r="Q16" s="14" t="s">
        <v>36</v>
      </c>
      <c r="R16" s="38" t="s">
        <v>37</v>
      </c>
      <c r="S16" s="38" t="s">
        <v>38</v>
      </c>
      <c r="T16" s="38" t="s">
        <v>39</v>
      </c>
      <c r="U16" s="38" t="s">
        <v>40</v>
      </c>
      <c r="V16" s="38" t="s">
        <v>41</v>
      </c>
      <c r="W16" s="398" t="s">
        <v>465</v>
      </c>
      <c r="X16" s="25" t="s">
        <v>43</v>
      </c>
      <c r="Y16" s="44" t="s">
        <v>44</v>
      </c>
      <c r="Z16" s="44" t="s">
        <v>45</v>
      </c>
      <c r="AA16" s="16" t="s">
        <v>46</v>
      </c>
      <c r="AB16" s="316" t="s">
        <v>47</v>
      </c>
      <c r="AC16" s="317"/>
      <c r="AD16" s="16" t="s">
        <v>48</v>
      </c>
      <c r="AE16" s="161" t="s">
        <v>49</v>
      </c>
      <c r="AF16" s="162"/>
      <c r="AG16" s="17" t="s">
        <v>50</v>
      </c>
      <c r="AH16" s="17" t="s">
        <v>51</v>
      </c>
      <c r="AI16" s="17" t="s">
        <v>30</v>
      </c>
      <c r="AJ16" s="17" t="s">
        <v>52</v>
      </c>
      <c r="AK16" s="17" t="s">
        <v>30</v>
      </c>
      <c r="AL16" s="17" t="s">
        <v>34</v>
      </c>
      <c r="AM16" s="17" t="s">
        <v>53</v>
      </c>
      <c r="AN16" s="13" t="s">
        <v>54</v>
      </c>
      <c r="AO16" s="2"/>
      <c r="AP16" s="18" t="s">
        <v>55</v>
      </c>
      <c r="AQ16" s="15" t="s">
        <v>56</v>
      </c>
      <c r="AR16" s="26" t="s">
        <v>57</v>
      </c>
      <c r="AT16" s="40" t="s">
        <v>58</v>
      </c>
      <c r="AU16" s="42" t="s">
        <v>59</v>
      </c>
      <c r="AV16" s="42" t="s">
        <v>60</v>
      </c>
      <c r="AW16" s="42" t="s">
        <v>61</v>
      </c>
      <c r="AX16" s="41" t="s">
        <v>62</v>
      </c>
      <c r="AY16" s="28"/>
      <c r="AZ16" s="43" t="s">
        <v>63</v>
      </c>
      <c r="BA16" s="318" t="s">
        <v>64</v>
      </c>
    </row>
    <row r="17" spans="1:53" ht="353.25" customHeight="1" x14ac:dyDescent="0.3">
      <c r="A17" s="278">
        <v>1</v>
      </c>
      <c r="B17" s="237" t="s">
        <v>65</v>
      </c>
      <c r="C17" s="165" t="s">
        <v>466</v>
      </c>
      <c r="D17" s="319" t="s">
        <v>467</v>
      </c>
      <c r="E17" s="165" t="s">
        <v>468</v>
      </c>
      <c r="F17" s="165"/>
      <c r="G17" s="280">
        <v>79</v>
      </c>
      <c r="H17" s="160" t="str">
        <f>IF(G17&lt;=0,"",IF(G17&lt;=2,"Muy Baja",IF(G17&lt;=24,"Baja",IF(G17&lt;=500,"Media",IF(G17&lt;=5000,"Alta","Muy Alta")))))</f>
        <v>Media</v>
      </c>
      <c r="I17" s="157">
        <f>IF(H17="","",IF(H17="Muy Baja",0.2,IF(H17="Baja",0.4,IF(H17="Media",0.6,IF(H17="Alta",0.8,IF(H17="Muy Alta",1,))))))</f>
        <v>0.6</v>
      </c>
      <c r="J17" s="281" t="s">
        <v>149</v>
      </c>
      <c r="K17" s="282" t="str">
        <f>+J17</f>
        <v>El riesgo afecta la imagen de la entidad internamente, de conocimiento general nivel interno, de junta directiva y/o de proveedores</v>
      </c>
      <c r="L17" s="160" t="str">
        <f>+VLOOKUP(K17,[4]Datos!$O$4:$P$15,2,FALSE)</f>
        <v>Menor</v>
      </c>
      <c r="M17" s="157">
        <f>IF(L17="","",IF(L17="Leve",0.2,IF(L17="Menor",0.4,IF(L17="Moderado",0.6,IF(L17="Mayor",0.8,IF(L17="Catastrófico",1,))))))</f>
        <v>0.4</v>
      </c>
      <c r="N17" s="283" t="str">
        <f>+CONCATENATE(H17, " - ", L17)</f>
        <v>Media - Menor</v>
      </c>
      <c r="O17" s="284" t="str">
        <f>+VLOOKUP(N17,[4]Datos!J4:K28,2,)</f>
        <v>MODERADO</v>
      </c>
      <c r="P17" s="320"/>
      <c r="Q17" s="321">
        <v>1</v>
      </c>
      <c r="R17" s="399" t="s">
        <v>216</v>
      </c>
      <c r="S17" s="399" t="s">
        <v>469</v>
      </c>
      <c r="T17" s="399" t="s">
        <v>470</v>
      </c>
      <c r="U17" s="399" t="s">
        <v>471</v>
      </c>
      <c r="V17" s="399" t="s">
        <v>472</v>
      </c>
      <c r="W17" s="399" t="s">
        <v>473</v>
      </c>
      <c r="X17" s="30" t="str">
        <f>IF(OR(Y17="Preventivo",Y17="Detectivo"),"Probabilidad",IF(Y17="Correctivo","Impacto",""))</f>
        <v>Probabilidad</v>
      </c>
      <c r="Y17" s="6" t="s">
        <v>76</v>
      </c>
      <c r="Z17" s="6" t="s">
        <v>77</v>
      </c>
      <c r="AA17" s="31" t="str">
        <f t="shared" ref="AA17:AA19" si="0">IF(AND(Y17="Preventivo",Z17="Automático"),"50%",IF(AND(Y17="Preventivo",Z17="Manual"),"40%",IF(AND(Y17="Detectivo",Z17="Automático"),"40%",IF(AND(Y17="Detectivo",Z17="Manual"),"30%",IF(AND(Y17="Correctivo",Z17="Automático"),"35%",IF(AND(Y17="Correctivo",Z17="Manual"),"25%",""))))))</f>
        <v>40%</v>
      </c>
      <c r="AB17" s="8" t="s">
        <v>78</v>
      </c>
      <c r="AC17" s="242" t="s">
        <v>474</v>
      </c>
      <c r="AD17" s="6" t="s">
        <v>99</v>
      </c>
      <c r="AE17" s="8" t="s">
        <v>81</v>
      </c>
      <c r="AF17" s="8" t="str">
        <f>+W17</f>
        <v>Estudio previo (Muestra 20% de los contratos adjudicados en el periodo reportado) 
Correo electrónico con solicitudes de ajustes para ser incluidos en los estudios previos ( Cuando aplique)</v>
      </c>
      <c r="AG17" s="32">
        <f>IFERROR(IF(X17="Probabilidad",(I17-(+I17*AA17)),IF(X17="Impacto",I17,"")),"")</f>
        <v>0.36</v>
      </c>
      <c r="AH17" s="33" t="str">
        <f t="shared" ref="AH17:AH18" si="1">IFERROR(IF(AG17="","",IF(AG17&lt;=0.2,"Muy Baja",IF(AG17&lt;=0.4,"Baja",IF(AG17&lt;=0.6,"Media",IF(AG17&lt;=0.8,"Alta","Muy Alta"))))),"")</f>
        <v>Baja</v>
      </c>
      <c r="AI17" s="34">
        <f>I17-(AA17*I17)</f>
        <v>0.36</v>
      </c>
      <c r="AJ17" s="35" t="str">
        <f t="shared" ref="AJ17:AJ19" si="2">IFERROR(IF(AK17="","",IF(AK17&lt;=0.2,"Leve",IF(AK17&lt;=0.4,"Menor",IF(AK17&lt;=0.6,"Moderado",IF(AK17&lt;=0.8,"Mayor","Catastrófico"))))),"")</f>
        <v>Menor</v>
      </c>
      <c r="AK17" s="32">
        <f>IFERROR(IF(X17="Impacto",(M17-(+M17*AA17)),IF(X17="Probabilidad",M17,"")),"")</f>
        <v>0.4</v>
      </c>
      <c r="AL17" s="36" t="str">
        <f>+CONCATENATE(AH17, " - ", AJ17)</f>
        <v>Baja - Menor</v>
      </c>
      <c r="AM17" s="37" t="str">
        <f>+VLOOKUP(AL17,[4]Datos!$J$4:$K$28,2,)</f>
        <v>MODERADO</v>
      </c>
      <c r="AN17" s="324" t="s">
        <v>82</v>
      </c>
      <c r="AO17" s="320"/>
      <c r="AP17" s="325" t="s">
        <v>475</v>
      </c>
      <c r="AQ17" s="244"/>
      <c r="AR17" s="245"/>
      <c r="AT17" s="156">
        <v>46156</v>
      </c>
      <c r="AU17" s="400" t="s">
        <v>476</v>
      </c>
      <c r="AV17" s="401" t="s">
        <v>172</v>
      </c>
      <c r="AW17" s="402" t="s">
        <v>302</v>
      </c>
      <c r="AX17" s="401" t="s">
        <v>172</v>
      </c>
      <c r="AY17" s="28"/>
      <c r="AZ17" s="403" t="s">
        <v>477</v>
      </c>
      <c r="BA17" s="404" t="s">
        <v>478</v>
      </c>
    </row>
    <row r="18" spans="1:53" ht="353.25" customHeight="1" thickBot="1" x14ac:dyDescent="0.35">
      <c r="A18" s="292"/>
      <c r="B18" s="293"/>
      <c r="C18" s="319"/>
      <c r="D18" s="331"/>
      <c r="E18" s="319"/>
      <c r="F18" s="319"/>
      <c r="G18" s="295"/>
      <c r="H18" s="296"/>
      <c r="I18" s="283"/>
      <c r="J18" s="297"/>
      <c r="K18" s="298"/>
      <c r="L18" s="296"/>
      <c r="M18" s="283"/>
      <c r="N18" s="299"/>
      <c r="O18" s="300"/>
      <c r="P18" s="2"/>
      <c r="Q18" s="333">
        <v>2</v>
      </c>
      <c r="R18" s="405" t="s">
        <v>479</v>
      </c>
      <c r="S18" s="406" t="s">
        <v>480</v>
      </c>
      <c r="T18" s="407" t="s">
        <v>481</v>
      </c>
      <c r="U18" s="405" t="s">
        <v>482</v>
      </c>
      <c r="V18" s="405" t="s">
        <v>483</v>
      </c>
      <c r="W18" s="408" t="s">
        <v>484</v>
      </c>
      <c r="X18" s="336" t="str">
        <f t="shared" ref="X18:X19" si="3">IF(OR(Y18="Preventivo",Y18="Detectivo"),"Probabilidad",IF(Y18="Correctivo","Impacto",""))</f>
        <v>Probabilidad</v>
      </c>
      <c r="Y18" s="6" t="s">
        <v>76</v>
      </c>
      <c r="Z18" s="6" t="s">
        <v>77</v>
      </c>
      <c r="AA18" s="31" t="str">
        <f t="shared" si="0"/>
        <v>40%</v>
      </c>
      <c r="AB18" s="8" t="s">
        <v>78</v>
      </c>
      <c r="AC18" s="242" t="s">
        <v>474</v>
      </c>
      <c r="AD18" s="6" t="s">
        <v>99</v>
      </c>
      <c r="AE18" s="8" t="s">
        <v>81</v>
      </c>
      <c r="AF18" s="8" t="str">
        <f>+W18</f>
        <v>Actas de comité asesor de contratación</v>
      </c>
      <c r="AG18" s="301">
        <f t="shared" ref="AG18:AG19" si="4">IFERROR(IF(AND(X17="Probabilidad",X18="Probabilidad"),(AI17-(+AI17*AA18)),IF(X18="Probabilidad",($I$17-(+$I$17*AA18)),IF(X18="Impacto",AI17,""))),"")</f>
        <v>0.216</v>
      </c>
      <c r="AH18" s="33" t="str">
        <f t="shared" si="1"/>
        <v>Baja</v>
      </c>
      <c r="AI18" s="34">
        <f t="shared" ref="AI18" si="5">+AG18</f>
        <v>0.216</v>
      </c>
      <c r="AJ18" s="35" t="str">
        <f t="shared" si="2"/>
        <v>Menor</v>
      </c>
      <c r="AK18" s="302">
        <f t="shared" ref="AK18:AK19" si="6">IFERROR(IF(AND(X17="Impacto",X17="Impacto"),(AK17-(+AK17*AA18)),IF(X18="Impacto",($M$17-(+$M$17*AA18)),IF(X18="Probabilidad",AK17,""))),"")</f>
        <v>0.4</v>
      </c>
      <c r="AL18" s="36" t="str">
        <f t="shared" ref="AL18:AL19" si="7">+CONCATENATE(AH18, " - ", AJ18)</f>
        <v>Baja - Menor</v>
      </c>
      <c r="AM18" s="37" t="str">
        <f>+VLOOKUP(AL18,[4]Datos!$J$4:$K$28,2,)</f>
        <v>MODERADO</v>
      </c>
      <c r="AN18" s="337"/>
      <c r="AO18" s="2"/>
      <c r="AP18" s="338"/>
      <c r="AQ18" s="339"/>
      <c r="AR18" s="340"/>
      <c r="AT18" s="409"/>
      <c r="AU18" s="410"/>
      <c r="AV18" s="411"/>
      <c r="AW18" s="412"/>
      <c r="AX18" s="411"/>
      <c r="AY18" s="28"/>
      <c r="AZ18" s="413"/>
      <c r="BA18" s="414"/>
    </row>
    <row r="19" spans="1:53" ht="353.25" customHeight="1" x14ac:dyDescent="0.3">
      <c r="A19" s="278"/>
      <c r="B19" s="237"/>
      <c r="C19" s="165"/>
      <c r="D19" s="347"/>
      <c r="E19" s="165"/>
      <c r="F19" s="165"/>
      <c r="G19" s="280"/>
      <c r="H19" s="160"/>
      <c r="I19" s="157"/>
      <c r="J19" s="349"/>
      <c r="K19" s="350"/>
      <c r="L19" s="160"/>
      <c r="M19" s="157"/>
      <c r="N19" s="351"/>
      <c r="O19" s="352"/>
      <c r="P19" s="353"/>
      <c r="Q19" s="321">
        <v>3</v>
      </c>
      <c r="R19" s="71" t="s">
        <v>485</v>
      </c>
      <c r="S19" s="415" t="s">
        <v>486</v>
      </c>
      <c r="T19" s="416" t="s">
        <v>487</v>
      </c>
      <c r="U19" s="71" t="s">
        <v>488</v>
      </c>
      <c r="V19" s="71" t="s">
        <v>489</v>
      </c>
      <c r="W19" s="71" t="s">
        <v>490</v>
      </c>
      <c r="X19" s="30" t="str">
        <f t="shared" si="3"/>
        <v>Impacto</v>
      </c>
      <c r="Y19" s="6" t="s">
        <v>151</v>
      </c>
      <c r="Z19" s="6" t="s">
        <v>77</v>
      </c>
      <c r="AA19" s="31" t="str">
        <f t="shared" si="0"/>
        <v>25%</v>
      </c>
      <c r="AB19" s="8" t="s">
        <v>78</v>
      </c>
      <c r="AC19" s="242" t="s">
        <v>474</v>
      </c>
      <c r="AD19" s="6" t="s">
        <v>99</v>
      </c>
      <c r="AE19" s="8" t="s">
        <v>81</v>
      </c>
      <c r="AF19" s="8" t="str">
        <f>+W19</f>
        <v>Acto administrativo frente al contrato que se encuentra afectado y las certificaciones expedidas por la Ias</v>
      </c>
      <c r="AG19" s="371">
        <f t="shared" si="4"/>
        <v>0.216</v>
      </c>
      <c r="AH19" s="33" t="str">
        <f>IFERROR(IF(AG19="","",IF(AG19&lt;=0.2,"Muy Baja",IF(AG19&lt;=0.4,"Baja",IF(AG19&lt;=0.6,"Media",IF(AG19&lt;=0.8,"Alta","Muy Alta"))))),"")</f>
        <v>Baja</v>
      </c>
      <c r="AI19" s="34">
        <f>+AG19</f>
        <v>0.216</v>
      </c>
      <c r="AJ19" s="35" t="str">
        <f t="shared" si="2"/>
        <v>Menor</v>
      </c>
      <c r="AK19" s="354">
        <f t="shared" si="6"/>
        <v>0.30000000000000004</v>
      </c>
      <c r="AL19" s="36" t="str">
        <f t="shared" si="7"/>
        <v>Baja - Menor</v>
      </c>
      <c r="AM19" s="37" t="str">
        <f>+VLOOKUP(AL19,[4]Datos!$J$4:$K$28,2,)</f>
        <v>MODERADO</v>
      </c>
      <c r="AN19" s="324"/>
      <c r="AO19" s="353"/>
      <c r="AP19" s="325"/>
      <c r="AQ19" s="244"/>
      <c r="AR19" s="245"/>
      <c r="AS19" s="355"/>
      <c r="AT19" s="156"/>
      <c r="AU19" s="417"/>
      <c r="AV19" s="418"/>
      <c r="AW19" s="419"/>
      <c r="AX19" s="418"/>
      <c r="AY19" s="358"/>
      <c r="AZ19" s="420"/>
      <c r="BA19" s="421"/>
    </row>
    <row r="20" spans="1:53" ht="64.5" customHeight="1" x14ac:dyDescent="0.3">
      <c r="B20" s="76"/>
      <c r="C20" s="77"/>
      <c r="D20" s="77"/>
      <c r="E20" s="77"/>
      <c r="F20" s="77"/>
      <c r="G20" s="76"/>
      <c r="H20" s="76"/>
      <c r="I20" s="78"/>
      <c r="J20" s="79"/>
      <c r="K20" s="80"/>
      <c r="L20" s="76"/>
      <c r="M20" s="78"/>
      <c r="N20" s="78"/>
      <c r="O20" s="81"/>
      <c r="P20" s="2"/>
      <c r="Q20" s="82"/>
      <c r="R20" s="22"/>
      <c r="S20" s="22"/>
      <c r="T20" s="22"/>
      <c r="U20" s="22"/>
      <c r="V20" s="22"/>
      <c r="W20" s="22"/>
      <c r="X20" s="82"/>
      <c r="Y20" s="83"/>
      <c r="Z20" s="83"/>
      <c r="AA20" s="84"/>
      <c r="AB20" s="85"/>
      <c r="AC20" s="86"/>
      <c r="AD20" s="83"/>
      <c r="AE20" s="85"/>
      <c r="AF20" s="85"/>
      <c r="AG20" s="87"/>
      <c r="AH20" s="83"/>
      <c r="AI20" s="88"/>
      <c r="AJ20" s="89"/>
      <c r="AK20" s="87"/>
      <c r="AL20" s="90"/>
      <c r="AM20" s="91"/>
      <c r="AN20" s="92"/>
      <c r="AO20" s="2"/>
      <c r="AP20" s="74"/>
      <c r="AQ20" s="74"/>
      <c r="AR20" s="74"/>
      <c r="AT20" s="45"/>
      <c r="AU20" s="46"/>
      <c r="AV20" s="47"/>
      <c r="AW20" s="48"/>
      <c r="AX20" s="49"/>
      <c r="AY20" s="27"/>
      <c r="AZ20" s="47"/>
      <c r="BA20" s="50"/>
    </row>
    <row r="21" spans="1:53" ht="20.399999999999999" x14ac:dyDescent="0.3">
      <c r="A21" s="152" t="s">
        <v>103</v>
      </c>
      <c r="B21" s="152"/>
      <c r="C21" s="152"/>
      <c r="D21" s="152"/>
      <c r="E21" s="152"/>
      <c r="F21" s="152"/>
      <c r="G21" s="152"/>
      <c r="H21" s="152"/>
      <c r="P21" s="2"/>
      <c r="BA21" s="39" t="s">
        <v>104</v>
      </c>
    </row>
    <row r="22" spans="1:53" x14ac:dyDescent="0.3">
      <c r="P22" s="2"/>
    </row>
    <row r="23" spans="1:53" s="1" customFormat="1" x14ac:dyDescent="0.3">
      <c r="A23"/>
      <c r="B23"/>
      <c r="C23"/>
      <c r="D23"/>
      <c r="E23"/>
      <c r="F23"/>
      <c r="G23"/>
      <c r="H23"/>
      <c r="I23"/>
      <c r="J23"/>
      <c r="K23"/>
      <c r="P23" s="2"/>
      <c r="AN23" s="4"/>
      <c r="AO23" s="4"/>
      <c r="AP23" s="4"/>
      <c r="AS23"/>
      <c r="AT23"/>
      <c r="AU23"/>
      <c r="AV23"/>
      <c r="AW23"/>
      <c r="AX23"/>
      <c r="AY23"/>
      <c r="AZ23"/>
      <c r="BA23"/>
    </row>
    <row r="24" spans="1:53" s="1" customFormat="1" x14ac:dyDescent="0.3">
      <c r="A24"/>
      <c r="B24"/>
      <c r="C24"/>
      <c r="D24"/>
      <c r="E24"/>
      <c r="F24"/>
      <c r="G24"/>
      <c r="H24"/>
      <c r="I24"/>
      <c r="J24"/>
      <c r="K24"/>
      <c r="P24" s="2"/>
      <c r="AN24" s="4"/>
      <c r="AO24" s="4"/>
      <c r="AP24" s="4"/>
      <c r="AS24"/>
      <c r="AT24"/>
      <c r="AU24"/>
      <c r="AV24"/>
      <c r="AW24"/>
      <c r="AX24"/>
      <c r="AY24"/>
      <c r="AZ24"/>
      <c r="BA24"/>
    </row>
    <row r="25" spans="1:53" s="1" customFormat="1" x14ac:dyDescent="0.3">
      <c r="A25"/>
      <c r="B25"/>
      <c r="C25"/>
      <c r="D25"/>
      <c r="E25"/>
      <c r="F25"/>
      <c r="G25"/>
      <c r="H25"/>
      <c r="I25"/>
      <c r="J25"/>
      <c r="K25"/>
      <c r="P25" s="2"/>
      <c r="AN25" s="4"/>
      <c r="AO25" s="4"/>
      <c r="AP25" s="4"/>
      <c r="AS25"/>
      <c r="AT25"/>
      <c r="AU25"/>
      <c r="AV25"/>
      <c r="AW25"/>
      <c r="AX25"/>
      <c r="AY25"/>
      <c r="AZ25"/>
      <c r="BA25"/>
    </row>
    <row r="26" spans="1:53" s="1" customFormat="1" x14ac:dyDescent="0.3">
      <c r="A26"/>
      <c r="B26"/>
      <c r="C26"/>
      <c r="D26"/>
      <c r="E26"/>
      <c r="F26"/>
      <c r="G26"/>
      <c r="H26"/>
      <c r="I26"/>
      <c r="J26"/>
      <c r="K26"/>
      <c r="P26" s="2"/>
      <c r="AN26" s="4"/>
      <c r="AO26" s="4"/>
      <c r="AP26" s="4"/>
      <c r="AS26"/>
      <c r="AT26"/>
      <c r="AU26"/>
      <c r="AV26"/>
      <c r="AW26"/>
      <c r="AX26"/>
      <c r="AY26"/>
      <c r="AZ26"/>
      <c r="BA26"/>
    </row>
    <row r="27" spans="1:53" s="1" customFormat="1" x14ac:dyDescent="0.3">
      <c r="A27"/>
      <c r="B27"/>
      <c r="C27"/>
      <c r="D27"/>
      <c r="E27"/>
      <c r="F27"/>
      <c r="G27"/>
      <c r="H27"/>
      <c r="I27"/>
      <c r="J27"/>
      <c r="K27"/>
      <c r="P27" s="2"/>
      <c r="AN27" s="4"/>
      <c r="AO27" s="4"/>
      <c r="AP27" s="4"/>
      <c r="AS27"/>
      <c r="AT27"/>
      <c r="AU27"/>
      <c r="AV27"/>
      <c r="AW27"/>
      <c r="AX27"/>
      <c r="AY27"/>
      <c r="AZ27"/>
      <c r="BA27"/>
    </row>
    <row r="28" spans="1:53" s="1" customFormat="1" x14ac:dyDescent="0.3">
      <c r="A28"/>
      <c r="B28"/>
      <c r="C28"/>
      <c r="D28"/>
      <c r="E28"/>
      <c r="F28"/>
      <c r="G28"/>
      <c r="H28"/>
      <c r="I28"/>
      <c r="J28"/>
      <c r="K28"/>
      <c r="P28" s="2"/>
      <c r="AN28" s="4"/>
      <c r="AO28" s="4"/>
      <c r="AP28" s="4"/>
      <c r="AS28"/>
      <c r="AT28"/>
      <c r="AU28"/>
      <c r="AV28"/>
      <c r="AW28"/>
      <c r="AX28"/>
      <c r="AY28"/>
      <c r="AZ28"/>
      <c r="BA28"/>
    </row>
    <row r="29" spans="1:53" s="1" customFormat="1" x14ac:dyDescent="0.3">
      <c r="A29"/>
      <c r="B29"/>
      <c r="C29"/>
      <c r="D29"/>
      <c r="E29"/>
      <c r="F29"/>
      <c r="G29"/>
      <c r="H29"/>
      <c r="I29"/>
      <c r="J29"/>
      <c r="K29"/>
      <c r="P29" s="2"/>
      <c r="AN29" s="4"/>
      <c r="AO29" s="4"/>
      <c r="AP29" s="4"/>
      <c r="AS29"/>
      <c r="AT29"/>
      <c r="AU29"/>
      <c r="AV29"/>
      <c r="AW29"/>
      <c r="AX29"/>
      <c r="AY29"/>
      <c r="AZ29"/>
      <c r="BA29"/>
    </row>
  </sheetData>
  <mergeCells count="54">
    <mergeCell ref="A21:H21"/>
    <mergeCell ref="AU17:AU19"/>
    <mergeCell ref="AV17:AV19"/>
    <mergeCell ref="AW17:AW19"/>
    <mergeCell ref="AX17:AX19"/>
    <mergeCell ref="AZ17:AZ19"/>
    <mergeCell ref="BA17:BA19"/>
    <mergeCell ref="O17:O19"/>
    <mergeCell ref="AN17:AN19"/>
    <mergeCell ref="AP17:AP19"/>
    <mergeCell ref="AQ17:AQ19"/>
    <mergeCell ref="AR17:AR19"/>
    <mergeCell ref="AT17:AT19"/>
    <mergeCell ref="I17:I19"/>
    <mergeCell ref="J17:J19"/>
    <mergeCell ref="K17:K19"/>
    <mergeCell ref="L17:L19"/>
    <mergeCell ref="M17:M19"/>
    <mergeCell ref="N17:N19"/>
    <mergeCell ref="AB16:AC16"/>
    <mergeCell ref="AE16:AF16"/>
    <mergeCell ref="A17:A19"/>
    <mergeCell ref="B17:B19"/>
    <mergeCell ref="C17:C19"/>
    <mergeCell ref="D17:D19"/>
    <mergeCell ref="E17:E19"/>
    <mergeCell ref="F17:F19"/>
    <mergeCell ref="G17:G19"/>
    <mergeCell ref="H17:H19"/>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20">
    <cfRule type="cellIs" dxfId="243" priority="20" operator="equal">
      <formula>"Muy Alta"</formula>
    </cfRule>
    <cfRule type="cellIs" dxfId="242" priority="21" operator="equal">
      <formula>"Alta"</formula>
    </cfRule>
    <cfRule type="cellIs" dxfId="241" priority="22" operator="equal">
      <formula>"Media"</formula>
    </cfRule>
    <cfRule type="cellIs" dxfId="240" priority="23" operator="equal">
      <formula>"Muy Baja"</formula>
    </cfRule>
    <cfRule type="cellIs" dxfId="239" priority="24" operator="equal">
      <formula>"Baja"</formula>
    </cfRule>
  </conditionalFormatting>
  <conditionalFormatting sqref="L17:L20">
    <cfRule type="cellIs" dxfId="238" priority="15" operator="equal">
      <formula>"Leve"</formula>
    </cfRule>
    <cfRule type="cellIs" dxfId="237" priority="16" operator="equal">
      <formula>"Catastrófico"</formula>
    </cfRule>
    <cfRule type="cellIs" dxfId="236" priority="17" operator="equal">
      <formula>"Mayor"</formula>
    </cfRule>
    <cfRule type="cellIs" dxfId="235" priority="18" operator="equal">
      <formula>"Moderado"</formula>
    </cfRule>
    <cfRule type="cellIs" dxfId="234" priority="19" operator="equal">
      <formula>"Menor"</formula>
    </cfRule>
  </conditionalFormatting>
  <conditionalFormatting sqref="O17:O20 AM17:AM20">
    <cfRule type="cellIs" dxfId="233" priority="11" operator="equal">
      <formula>"EXTREMO"</formula>
    </cfRule>
    <cfRule type="cellIs" dxfId="232" priority="12" operator="equal">
      <formula>"ALTO"</formula>
    </cfRule>
    <cfRule type="cellIs" dxfId="231" priority="13" operator="equal">
      <formula>"BAJO"</formula>
    </cfRule>
    <cfRule type="cellIs" dxfId="230" priority="14" operator="equal">
      <formula>"MODERADO"</formula>
    </cfRule>
  </conditionalFormatting>
  <conditionalFormatting sqref="AH17:AH20">
    <cfRule type="cellIs" dxfId="229" priority="6" operator="equal">
      <formula>"Muy Baja"</formula>
    </cfRule>
    <cfRule type="cellIs" dxfId="228" priority="7" operator="equal">
      <formula>"Baja"</formula>
    </cfRule>
    <cfRule type="cellIs" dxfId="227" priority="8" operator="equal">
      <formula>"Media"</formula>
    </cfRule>
    <cfRule type="cellIs" dxfId="226" priority="9" operator="equal">
      <formula>"Muy Alta"</formula>
    </cfRule>
    <cfRule type="cellIs" dxfId="225" priority="10" operator="equal">
      <formula>"Alta"</formula>
    </cfRule>
  </conditionalFormatting>
  <conditionalFormatting sqref="AJ17:AJ20">
    <cfRule type="cellIs" dxfId="224" priority="1" operator="equal">
      <formula>"Catastrófico"</formula>
    </cfRule>
    <cfRule type="cellIs" dxfId="223" priority="2" operator="equal">
      <formula>"Mayor"</formula>
    </cfRule>
    <cfRule type="cellIs" dxfId="222" priority="3" operator="equal">
      <formula>"Moderado"</formula>
    </cfRule>
    <cfRule type="cellIs" dxfId="221" priority="4" operator="equal">
      <formula>"Menor"</formula>
    </cfRule>
    <cfRule type="cellIs" dxfId="220" priority="5" operator="equal">
      <formula>"Leve"</formula>
    </cfRule>
  </conditionalFormatting>
  <hyperlinks>
    <hyperlink ref="A14:O15" location="Instructivo!A1" display="IDENTIFICACIÓN DEL RIESGO" xr:uid="{23181317-FD27-4015-9AF9-A8769A3D91B9}"/>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CF34B-528A-46E2-AB5D-B8A6FE24293D}">
  <sheetPr>
    <tabColor theme="0"/>
    <pageSetUpPr fitToPage="1"/>
  </sheetPr>
  <dimension ref="A1:BA27"/>
  <sheetViews>
    <sheetView showGridLines="0" topLeftCell="A17" zoomScale="60" zoomScaleNormal="60" zoomScaleSheetLayoutView="80" workbookViewId="0">
      <selection activeCell="L23" sqref="L23"/>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6640625" customWidth="1"/>
    <col min="12" max="12" width="20.109375" style="1" customWidth="1"/>
    <col min="13" max="13" width="9.44140625" style="1" customWidth="1"/>
    <col min="14" max="14" width="26.6640625" style="1" customWidth="1"/>
    <col min="15" max="15" width="11.33203125" style="1" customWidth="1"/>
    <col min="16" max="16" width="1" style="1" customWidth="1"/>
    <col min="17" max="17" width="5.109375" style="1" customWidth="1"/>
    <col min="18" max="23" width="46.6640625" style="1" customWidth="1"/>
    <col min="24" max="24" width="15.6640625" style="1" customWidth="1"/>
    <col min="25" max="27" width="10.33203125" style="1" customWidth="1"/>
    <col min="28" max="28" width="6" style="1" customWidth="1"/>
    <col min="29" max="29" width="13.6640625" style="1" customWidth="1"/>
    <col min="30" max="30" width="7.44140625" style="1" customWidth="1"/>
    <col min="31" max="31" width="5.6640625" style="1" customWidth="1"/>
    <col min="32" max="32" width="17" style="1" customWidth="1"/>
    <col min="33" max="33" width="11.6640625" style="1" customWidth="1"/>
    <col min="34" max="34" width="7.33203125" style="1" customWidth="1"/>
    <col min="35" max="35" width="10.6640625" style="1" customWidth="1"/>
    <col min="36" max="36" width="8" style="1" customWidth="1"/>
    <col min="37" max="38" width="7.33203125" style="1" customWidth="1"/>
    <col min="39" max="39" width="9.33203125" style="1" customWidth="1"/>
    <col min="40" max="40" width="8.44140625" style="4" customWidth="1"/>
    <col min="41" max="41" width="1" style="4" customWidth="1"/>
    <col min="42" max="42" width="26.6640625" style="4" customWidth="1"/>
    <col min="43" max="43" width="26.6640625" style="1" customWidth="1"/>
    <col min="44" max="44" width="20.6640625" style="1" customWidth="1"/>
    <col min="45" max="45" width="1" customWidth="1"/>
    <col min="46" max="46" width="18.33203125" customWidth="1"/>
    <col min="47" max="50" width="45" customWidth="1"/>
    <col min="51" max="51" width="1" customWidth="1"/>
    <col min="52" max="53" width="4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4</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7"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343</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45828</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29" t="s">
        <v>462</v>
      </c>
      <c r="E10" s="230"/>
      <c r="F10" s="230"/>
      <c r="G10" s="230"/>
      <c r="H10" s="230"/>
      <c r="I10" s="230"/>
      <c r="J10" s="230"/>
      <c r="K10" s="230"/>
      <c r="L10" s="230"/>
      <c r="M10" s="231"/>
      <c r="N10" s="21"/>
      <c r="AN10" s="1"/>
      <c r="AO10" s="1"/>
      <c r="AP10" s="1"/>
    </row>
    <row r="11" spans="1:53" s="3" customFormat="1" ht="75" customHeight="1" x14ac:dyDescent="0.3">
      <c r="A11" s="194" t="s">
        <v>11</v>
      </c>
      <c r="B11" s="194"/>
      <c r="C11" s="194"/>
      <c r="D11" s="233" t="s">
        <v>463</v>
      </c>
      <c r="E11" s="234"/>
      <c r="F11" s="234"/>
      <c r="G11" s="234"/>
      <c r="H11" s="234"/>
      <c r="I11" s="234"/>
      <c r="J11" s="234"/>
      <c r="K11" s="234"/>
      <c r="L11" s="234"/>
      <c r="M11" s="235"/>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94" t="s">
        <v>13</v>
      </c>
      <c r="B12" s="194"/>
      <c r="C12" s="194"/>
      <c r="D12" s="233" t="s">
        <v>464</v>
      </c>
      <c r="E12" s="234"/>
      <c r="F12" s="234"/>
      <c r="G12" s="234"/>
      <c r="H12" s="234"/>
      <c r="I12" s="234"/>
      <c r="J12" s="234"/>
      <c r="K12" s="234"/>
      <c r="L12" s="234"/>
      <c r="M12" s="235"/>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66" t="s">
        <v>15</v>
      </c>
      <c r="B14" s="167"/>
      <c r="C14" s="167"/>
      <c r="D14" s="167"/>
      <c r="E14" s="167"/>
      <c r="F14" s="167"/>
      <c r="G14" s="167"/>
      <c r="H14" s="167"/>
      <c r="I14" s="167"/>
      <c r="J14" s="167"/>
      <c r="K14" s="167"/>
      <c r="L14" s="167"/>
      <c r="M14" s="167"/>
      <c r="N14" s="168"/>
      <c r="O14" s="169"/>
      <c r="P14" s="2"/>
      <c r="Q14" s="174" t="s">
        <v>16</v>
      </c>
      <c r="R14" s="175"/>
      <c r="S14" s="175"/>
      <c r="T14" s="175"/>
      <c r="U14" s="175"/>
      <c r="V14" s="175"/>
      <c r="W14" s="175"/>
      <c r="X14" s="175"/>
      <c r="Y14" s="176"/>
      <c r="Z14" s="176"/>
      <c r="AA14" s="176"/>
      <c r="AB14" s="176"/>
      <c r="AC14" s="176"/>
      <c r="AD14" s="176"/>
      <c r="AE14" s="176"/>
      <c r="AF14" s="175"/>
      <c r="AG14" s="175"/>
      <c r="AH14" s="175"/>
      <c r="AI14" s="175"/>
      <c r="AJ14" s="175"/>
      <c r="AK14" s="175"/>
      <c r="AL14" s="175"/>
      <c r="AM14" s="175"/>
      <c r="AN14" s="177"/>
      <c r="AO14" s="2"/>
      <c r="AP14" s="178" t="s">
        <v>17</v>
      </c>
      <c r="AQ14" s="179"/>
      <c r="AR14" s="180"/>
      <c r="AT14" s="184" t="s">
        <v>18</v>
      </c>
      <c r="AU14" s="185"/>
      <c r="AV14" s="185"/>
      <c r="AW14" s="185"/>
      <c r="AX14" s="186"/>
      <c r="AY14" s="27"/>
      <c r="AZ14" s="178" t="s">
        <v>19</v>
      </c>
      <c r="BA14" s="180"/>
    </row>
    <row r="15" spans="1:53" x14ac:dyDescent="0.3">
      <c r="A15" s="422"/>
      <c r="B15" s="423"/>
      <c r="C15" s="423"/>
      <c r="D15" s="423"/>
      <c r="E15" s="423"/>
      <c r="F15" s="423"/>
      <c r="G15" s="423"/>
      <c r="H15" s="423"/>
      <c r="I15" s="423"/>
      <c r="J15" s="423"/>
      <c r="K15" s="423"/>
      <c r="L15" s="423"/>
      <c r="M15" s="423"/>
      <c r="N15" s="424"/>
      <c r="O15" s="425"/>
      <c r="P15" s="2"/>
      <c r="Q15" s="426"/>
      <c r="R15" s="427"/>
      <c r="S15" s="427"/>
      <c r="T15" s="427"/>
      <c r="U15" s="427"/>
      <c r="V15" s="427"/>
      <c r="W15" s="427"/>
      <c r="X15" s="427"/>
      <c r="Y15" s="428" t="s">
        <v>20</v>
      </c>
      <c r="Z15" s="429"/>
      <c r="AA15" s="430"/>
      <c r="AB15" s="428" t="s">
        <v>21</v>
      </c>
      <c r="AC15" s="429"/>
      <c r="AD15" s="429"/>
      <c r="AE15" s="429"/>
      <c r="AF15" s="430"/>
      <c r="AG15" s="431"/>
      <c r="AH15" s="431"/>
      <c r="AI15" s="431"/>
      <c r="AJ15" s="431"/>
      <c r="AK15" s="431"/>
      <c r="AL15" s="431"/>
      <c r="AM15" s="431"/>
      <c r="AN15" s="432"/>
      <c r="AO15" s="2"/>
      <c r="AP15" s="433"/>
      <c r="AQ15" s="434"/>
      <c r="AR15" s="435"/>
      <c r="AT15" s="436"/>
      <c r="AU15" s="434"/>
      <c r="AV15" s="434"/>
      <c r="AW15" s="434"/>
      <c r="AX15" s="437"/>
      <c r="AY15" s="27"/>
      <c r="AZ15" s="433"/>
      <c r="BA15" s="435"/>
    </row>
    <row r="16" spans="1:53" s="5" customFormat="1" ht="166.5" customHeight="1" x14ac:dyDescent="0.3">
      <c r="A16" s="114" t="s">
        <v>22</v>
      </c>
      <c r="B16" s="115" t="s">
        <v>23</v>
      </c>
      <c r="C16" s="116" t="s">
        <v>24</v>
      </c>
      <c r="D16" s="116" t="s">
        <v>25</v>
      </c>
      <c r="E16" s="117" t="s">
        <v>26</v>
      </c>
      <c r="F16" s="118" t="s">
        <v>27</v>
      </c>
      <c r="G16" s="119" t="s">
        <v>28</v>
      </c>
      <c r="H16" s="117" t="s">
        <v>29</v>
      </c>
      <c r="I16" s="116" t="s">
        <v>30</v>
      </c>
      <c r="J16" s="116" t="s">
        <v>31</v>
      </c>
      <c r="K16" s="117" t="s">
        <v>32</v>
      </c>
      <c r="L16" s="117" t="s">
        <v>33</v>
      </c>
      <c r="M16" s="116" t="s">
        <v>30</v>
      </c>
      <c r="N16" s="116" t="s">
        <v>34</v>
      </c>
      <c r="O16" s="120" t="s">
        <v>35</v>
      </c>
      <c r="P16" s="99"/>
      <c r="Q16" s="121" t="s">
        <v>36</v>
      </c>
      <c r="R16" s="38" t="s">
        <v>37</v>
      </c>
      <c r="S16" s="38" t="s">
        <v>38</v>
      </c>
      <c r="T16" s="38" t="s">
        <v>39</v>
      </c>
      <c r="U16" s="38" t="s">
        <v>40</v>
      </c>
      <c r="V16" s="38" t="s">
        <v>41</v>
      </c>
      <c r="W16" s="38" t="s">
        <v>42</v>
      </c>
      <c r="X16" s="73" t="s">
        <v>43</v>
      </c>
      <c r="Y16" s="121" t="s">
        <v>44</v>
      </c>
      <c r="Z16" s="121" t="s">
        <v>45</v>
      </c>
      <c r="AA16" s="121" t="s">
        <v>46</v>
      </c>
      <c r="AB16" s="225" t="s">
        <v>47</v>
      </c>
      <c r="AC16" s="226"/>
      <c r="AD16" s="121" t="s">
        <v>48</v>
      </c>
      <c r="AE16" s="225" t="s">
        <v>49</v>
      </c>
      <c r="AF16" s="226"/>
      <c r="AG16" s="120" t="s">
        <v>50</v>
      </c>
      <c r="AH16" s="120" t="s">
        <v>51</v>
      </c>
      <c r="AI16" s="120" t="s">
        <v>30</v>
      </c>
      <c r="AJ16" s="120" t="s">
        <v>52</v>
      </c>
      <c r="AK16" s="120" t="s">
        <v>30</v>
      </c>
      <c r="AL16" s="120" t="s">
        <v>34</v>
      </c>
      <c r="AM16" s="120" t="s">
        <v>53</v>
      </c>
      <c r="AN16" s="120" t="s">
        <v>54</v>
      </c>
      <c r="AO16" s="99"/>
      <c r="AP16" s="122" t="s">
        <v>55</v>
      </c>
      <c r="AQ16" s="122" t="s">
        <v>56</v>
      </c>
      <c r="AR16" s="38" t="s">
        <v>57</v>
      </c>
      <c r="AS16" s="123"/>
      <c r="AT16" s="124" t="s">
        <v>58</v>
      </c>
      <c r="AU16" s="124" t="s">
        <v>59</v>
      </c>
      <c r="AV16" s="124" t="s">
        <v>60</v>
      </c>
      <c r="AW16" s="124" t="s">
        <v>61</v>
      </c>
      <c r="AX16" s="124" t="s">
        <v>62</v>
      </c>
      <c r="AY16" s="104"/>
      <c r="AZ16" s="124" t="s">
        <v>63</v>
      </c>
      <c r="BA16" s="124" t="s">
        <v>64</v>
      </c>
    </row>
    <row r="17" spans="1:53" ht="408.75" customHeight="1" x14ac:dyDescent="0.3">
      <c r="A17" s="146">
        <v>2</v>
      </c>
      <c r="B17" s="438" t="s">
        <v>106</v>
      </c>
      <c r="C17" s="97" t="s">
        <v>491</v>
      </c>
      <c r="D17" s="97" t="s">
        <v>492</v>
      </c>
      <c r="E17" s="97" t="s">
        <v>493</v>
      </c>
      <c r="F17" s="97"/>
      <c r="G17" s="439">
        <v>2654</v>
      </c>
      <c r="H17" s="147" t="str">
        <f>IF(G17&lt;=0,"",IF(G17&lt;=2,"Muy Baja",IF(G17&lt;=24,"Baja",IF(G17&lt;=500,"Media",IF(G17&lt;=5000,"Alta","Muy Alta")))))</f>
        <v>Alta</v>
      </c>
      <c r="I17" s="149">
        <f>IF(H17="","",IF(H17="Muy Baja",0.2,IF(H17="Baja",0.4,IF(H17="Media",0.6,IF(H17="Alta",0.8,IF(H17="Muy Alta",1,))))))</f>
        <v>0.8</v>
      </c>
      <c r="J17" s="440" t="s">
        <v>110</v>
      </c>
      <c r="K17" s="441" t="str">
        <f>+J17</f>
        <v>Afectación Menor o igual a 700 SMLMV</v>
      </c>
      <c r="L17" s="147" t="str">
        <f>+VLOOKUP(K17,[4]Datos!$O$4:$P$15,2,FALSE)</f>
        <v>Leve</v>
      </c>
      <c r="M17" s="149">
        <f>IF(L17="","",IF(L17="Leve",0.2,IF(L17="Menor",0.4,IF(L17="Moderado",0.6,IF(L17="Mayor",0.8,IF(L17="Catastrófico",1,))))))</f>
        <v>0.2</v>
      </c>
      <c r="N17" s="149" t="str">
        <f>+CONCATENATE(H17, " - ", L17)</f>
        <v>Alta - Leve</v>
      </c>
      <c r="O17" s="442" t="str">
        <f>+VLOOKUP(N17,[4]Datos!J4:K28,2,)</f>
        <v>MODERADO</v>
      </c>
      <c r="P17" s="99"/>
      <c r="Q17" s="100">
        <v>1</v>
      </c>
      <c r="R17" s="71" t="s">
        <v>494</v>
      </c>
      <c r="S17" s="443" t="s">
        <v>495</v>
      </c>
      <c r="T17" s="416" t="s">
        <v>496</v>
      </c>
      <c r="U17" s="71" t="s">
        <v>497</v>
      </c>
      <c r="V17" s="71" t="s">
        <v>498</v>
      </c>
      <c r="W17" s="71" t="s">
        <v>499</v>
      </c>
      <c r="X17" s="30" t="str">
        <f>IF(OR(Y17="Preventivo",Y17="Detectivo"),"Probabilidad",IF(Y17="Correctivo","Impacto",""))</f>
        <v>Probabilidad</v>
      </c>
      <c r="Y17" s="6" t="s">
        <v>76</v>
      </c>
      <c r="Z17" s="6" t="s">
        <v>77</v>
      </c>
      <c r="AA17" s="31" t="str">
        <f t="shared" ref="AA17" si="0">IF(AND(Y17="Preventivo",Z17="Automático"),"50%",IF(AND(Y17="Preventivo",Z17="Manual"),"40%",IF(AND(Y17="Detectivo",Z17="Automático"),"40%",IF(AND(Y17="Detectivo",Z17="Manual"),"30%",IF(AND(Y17="Correctivo",Z17="Automático"),"35%",IF(AND(Y17="Correctivo",Z17="Manual"),"25%",""))))))</f>
        <v>40%</v>
      </c>
      <c r="AB17" s="8" t="s">
        <v>78</v>
      </c>
      <c r="AC17" s="242" t="s">
        <v>500</v>
      </c>
      <c r="AD17" s="6" t="s">
        <v>99</v>
      </c>
      <c r="AE17" s="8" t="s">
        <v>81</v>
      </c>
      <c r="AF17" s="8" t="str">
        <f>+W17</f>
        <v>Matriz de radicación de procesos de contratación
Correo electrónico ( Cuando aplique)</v>
      </c>
      <c r="AG17" s="32">
        <f>IFERROR(IF(X17="Probabilidad",(I17-(+I17*AA17)),IF(X17="Impacto",I17,"")),"")</f>
        <v>0.48</v>
      </c>
      <c r="AH17" s="33" t="str">
        <f t="shared" ref="AH17" si="1">IFERROR(IF(AG17="","",IF(AG17&lt;=0.2,"Muy Baja",IF(AG17&lt;=0.4,"Baja",IF(AG17&lt;=0.6,"Media",IF(AG17&lt;=0.8,"Alta","Muy Alta"))))),"")</f>
        <v>Media</v>
      </c>
      <c r="AI17" s="34">
        <f>I17-(AA17*I17)</f>
        <v>0.48</v>
      </c>
      <c r="AJ17" s="35" t="str">
        <f t="shared" ref="AJ17" si="2">IFERROR(IF(AK17="","",IF(AK17&lt;=0.2,"Leve",IF(AK17&lt;=0.4,"Menor",IF(AK17&lt;=0.6,"Moderado",IF(AK17&lt;=0.8,"Mayor","Catastrófico"))))),"")</f>
        <v>Leve</v>
      </c>
      <c r="AK17" s="32">
        <f>IFERROR(IF(X17="Impacto",(M17-(+M17*AA17)),IF(X17="Probabilidad",M17,"")),"")</f>
        <v>0.2</v>
      </c>
      <c r="AL17" s="36" t="str">
        <f>+CONCATENATE(AH17, " - ", AJ17)</f>
        <v>Media - Leve</v>
      </c>
      <c r="AM17" s="37" t="str">
        <f>+VLOOKUP(AL17,[4]Datos!$J$4:$K$28,2,)</f>
        <v>MODERADO</v>
      </c>
      <c r="AN17" s="101" t="s">
        <v>82</v>
      </c>
      <c r="AO17" s="99"/>
      <c r="AP17" s="444" t="s">
        <v>501</v>
      </c>
      <c r="AQ17" s="444" t="s">
        <v>502</v>
      </c>
      <c r="AR17" s="445" t="s">
        <v>503</v>
      </c>
      <c r="AS17" s="102"/>
      <c r="AT17" s="148">
        <v>46156</v>
      </c>
      <c r="AU17" s="327" t="s">
        <v>504</v>
      </c>
      <c r="AV17" s="327" t="s">
        <v>505</v>
      </c>
      <c r="AW17" s="446" t="s">
        <v>506</v>
      </c>
      <c r="AX17" s="140" t="s">
        <v>172</v>
      </c>
      <c r="AY17" s="104"/>
      <c r="AZ17" s="446" t="s">
        <v>507</v>
      </c>
      <c r="BA17" s="447" t="s">
        <v>508</v>
      </c>
    </row>
    <row r="18" spans="1:53" ht="93.75" customHeight="1" x14ac:dyDescent="0.3">
      <c r="B18" s="76"/>
      <c r="C18" s="77"/>
      <c r="D18" s="77"/>
      <c r="E18" s="77"/>
      <c r="F18" s="77"/>
      <c r="G18" s="76"/>
      <c r="H18" s="76"/>
      <c r="I18" s="78"/>
      <c r="J18" s="79"/>
      <c r="K18" s="80"/>
      <c r="L18" s="76"/>
      <c r="M18" s="78"/>
      <c r="N18" s="78"/>
      <c r="O18" s="81"/>
      <c r="P18" s="2"/>
      <c r="Q18" s="82"/>
      <c r="R18" s="22"/>
      <c r="S18" s="22"/>
      <c r="T18" s="22"/>
      <c r="U18" s="22"/>
      <c r="V18" s="22"/>
      <c r="W18" s="22"/>
      <c r="X18" s="82"/>
      <c r="Y18" s="83"/>
      <c r="Z18" s="83"/>
      <c r="AA18" s="84"/>
      <c r="AB18" s="85"/>
      <c r="AC18" s="86"/>
      <c r="AD18" s="83"/>
      <c r="AE18" s="85"/>
      <c r="AF18" s="85"/>
      <c r="AG18" s="87"/>
      <c r="AH18" s="83"/>
      <c r="AI18" s="88"/>
      <c r="AJ18" s="89"/>
      <c r="AK18" s="87"/>
      <c r="AL18" s="90"/>
      <c r="AM18" s="91"/>
      <c r="AN18" s="92"/>
      <c r="AO18" s="2"/>
      <c r="AP18" s="74"/>
      <c r="AQ18" s="74"/>
      <c r="AR18" s="74"/>
      <c r="AT18" s="45"/>
      <c r="AU18" s="46"/>
      <c r="AV18" s="47"/>
      <c r="AW18" s="48"/>
      <c r="AX18" s="49"/>
      <c r="AY18" s="27"/>
      <c r="AZ18" s="47"/>
      <c r="BA18" s="50"/>
    </row>
    <row r="19" spans="1:53" ht="20.399999999999999" x14ac:dyDescent="0.3">
      <c r="A19" s="152" t="s">
        <v>103</v>
      </c>
      <c r="B19" s="152"/>
      <c r="C19" s="152"/>
      <c r="D19" s="152"/>
      <c r="E19" s="152"/>
      <c r="F19" s="152"/>
      <c r="G19" s="152"/>
      <c r="H19" s="152"/>
      <c r="P19" s="2"/>
      <c r="BA19" s="39" t="s">
        <v>104</v>
      </c>
    </row>
    <row r="20" spans="1:53" x14ac:dyDescent="0.3">
      <c r="P20" s="2"/>
    </row>
    <row r="21" spans="1:53" s="1" customFormat="1" x14ac:dyDescent="0.3">
      <c r="A21"/>
      <c r="B21"/>
      <c r="C21"/>
      <c r="D21"/>
      <c r="E21"/>
      <c r="F21"/>
      <c r="G21"/>
      <c r="H21"/>
      <c r="I21"/>
      <c r="J21"/>
      <c r="K21"/>
      <c r="P21" s="2"/>
      <c r="AN21" s="4"/>
      <c r="AO21" s="4"/>
      <c r="AP21" s="4"/>
      <c r="AS21"/>
      <c r="AT21"/>
      <c r="AU21"/>
      <c r="AV21"/>
      <c r="AW21"/>
      <c r="AX21"/>
      <c r="AY21"/>
      <c r="AZ21"/>
      <c r="BA21"/>
    </row>
    <row r="22" spans="1:53" s="1" customFormat="1" x14ac:dyDescent="0.3">
      <c r="A22"/>
      <c r="B22"/>
      <c r="C22"/>
      <c r="D22"/>
      <c r="E22"/>
      <c r="F22"/>
      <c r="G22"/>
      <c r="H22"/>
      <c r="I22"/>
      <c r="J22"/>
      <c r="K22"/>
      <c r="P22" s="2"/>
      <c r="AN22" s="4"/>
      <c r="AO22" s="4"/>
      <c r="AP22" s="4"/>
      <c r="AS22"/>
      <c r="AT22"/>
      <c r="AU22"/>
      <c r="AV22"/>
      <c r="AW22"/>
      <c r="AX22"/>
      <c r="AY22"/>
      <c r="AZ22"/>
      <c r="BA22"/>
    </row>
    <row r="23" spans="1:53" s="1" customFormat="1" x14ac:dyDescent="0.3">
      <c r="A23"/>
      <c r="B23"/>
      <c r="C23"/>
      <c r="D23"/>
      <c r="E23"/>
      <c r="F23"/>
      <c r="G23"/>
      <c r="H23"/>
      <c r="I23"/>
      <c r="J23"/>
      <c r="K23"/>
      <c r="P23" s="2"/>
      <c r="AN23" s="4"/>
      <c r="AO23" s="4"/>
      <c r="AP23" s="4"/>
      <c r="AS23"/>
      <c r="AT23"/>
      <c r="AU23"/>
      <c r="AV23"/>
      <c r="AW23"/>
      <c r="AX23"/>
      <c r="AY23"/>
      <c r="AZ23"/>
      <c r="BA23"/>
    </row>
    <row r="24" spans="1:53" s="1" customFormat="1" x14ac:dyDescent="0.3">
      <c r="A24"/>
      <c r="B24"/>
      <c r="C24"/>
      <c r="D24"/>
      <c r="E24"/>
      <c r="F24"/>
      <c r="G24"/>
      <c r="H24"/>
      <c r="I24"/>
      <c r="J24"/>
      <c r="K24"/>
      <c r="P24" s="2"/>
      <c r="AN24" s="4"/>
      <c r="AO24" s="4"/>
      <c r="AP24" s="4"/>
      <c r="AS24"/>
      <c r="AT24"/>
      <c r="AU24"/>
      <c r="AV24"/>
      <c r="AW24"/>
      <c r="AX24"/>
      <c r="AY24"/>
      <c r="AZ24"/>
      <c r="BA24"/>
    </row>
    <row r="25" spans="1:53" s="1" customFormat="1" x14ac:dyDescent="0.3">
      <c r="A25"/>
      <c r="B25"/>
      <c r="C25"/>
      <c r="D25"/>
      <c r="E25"/>
      <c r="F25"/>
      <c r="G25"/>
      <c r="H25"/>
      <c r="I25"/>
      <c r="J25"/>
      <c r="K25"/>
      <c r="P25" s="2"/>
      <c r="AN25" s="4"/>
      <c r="AO25" s="4"/>
      <c r="AP25" s="4"/>
      <c r="AS25"/>
      <c r="AT25"/>
      <c r="AU25"/>
      <c r="AV25"/>
      <c r="AW25"/>
      <c r="AX25"/>
      <c r="AY25"/>
      <c r="AZ25"/>
      <c r="BA25"/>
    </row>
    <row r="26" spans="1:53" s="1" customFormat="1" x14ac:dyDescent="0.3">
      <c r="A26"/>
      <c r="B26"/>
      <c r="C26"/>
      <c r="D26"/>
      <c r="E26"/>
      <c r="F26"/>
      <c r="G26"/>
      <c r="H26"/>
      <c r="I26"/>
      <c r="J26"/>
      <c r="K26"/>
      <c r="P26" s="2"/>
      <c r="AN26" s="4"/>
      <c r="AO26" s="4"/>
      <c r="AP26" s="4"/>
      <c r="AS26"/>
      <c r="AT26"/>
      <c r="AU26"/>
      <c r="AV26"/>
      <c r="AW26"/>
      <c r="AX26"/>
      <c r="AY26"/>
      <c r="AZ26"/>
      <c r="BA26"/>
    </row>
    <row r="27" spans="1:53" s="1" customFormat="1" x14ac:dyDescent="0.3">
      <c r="A27"/>
      <c r="B27"/>
      <c r="C27"/>
      <c r="D27"/>
      <c r="E27"/>
      <c r="F27"/>
      <c r="G27"/>
      <c r="H27"/>
      <c r="I27"/>
      <c r="J27"/>
      <c r="K27"/>
      <c r="P27" s="2"/>
      <c r="AN27" s="4"/>
      <c r="AO27" s="4"/>
      <c r="AP27" s="4"/>
      <c r="AS27"/>
      <c r="AT27"/>
      <c r="AU27"/>
      <c r="AV27"/>
      <c r="AW27"/>
      <c r="AX27"/>
      <c r="AY27"/>
      <c r="AZ27"/>
      <c r="BA27"/>
    </row>
  </sheetData>
  <mergeCells count="28">
    <mergeCell ref="AB16:AC16"/>
    <mergeCell ref="AE16:AF16"/>
    <mergeCell ref="A19:H19"/>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18">
    <cfRule type="cellIs" dxfId="219" priority="20" operator="equal">
      <formula>"Muy Alta"</formula>
    </cfRule>
    <cfRule type="cellIs" dxfId="218" priority="21" operator="equal">
      <formula>"Alta"</formula>
    </cfRule>
    <cfRule type="cellIs" dxfId="217" priority="22" operator="equal">
      <formula>"Media"</formula>
    </cfRule>
    <cfRule type="cellIs" dxfId="216" priority="23" operator="equal">
      <formula>"Muy Baja"</formula>
    </cfRule>
    <cfRule type="cellIs" dxfId="215" priority="24" operator="equal">
      <formula>"Baja"</formula>
    </cfRule>
  </conditionalFormatting>
  <conditionalFormatting sqref="L17:L18">
    <cfRule type="cellIs" dxfId="214" priority="15" operator="equal">
      <formula>"Leve"</formula>
    </cfRule>
    <cfRule type="cellIs" dxfId="213" priority="16" operator="equal">
      <formula>"Catastrófico"</formula>
    </cfRule>
    <cfRule type="cellIs" dxfId="212" priority="17" operator="equal">
      <formula>"Mayor"</formula>
    </cfRule>
    <cfRule type="cellIs" dxfId="211" priority="18" operator="equal">
      <formula>"Moderado"</formula>
    </cfRule>
    <cfRule type="cellIs" dxfId="210" priority="19" operator="equal">
      <formula>"Menor"</formula>
    </cfRule>
  </conditionalFormatting>
  <conditionalFormatting sqref="O17:O18 AM17:AM18">
    <cfRule type="cellIs" dxfId="209" priority="11" operator="equal">
      <formula>"EXTREMO"</formula>
    </cfRule>
    <cfRule type="cellIs" dxfId="208" priority="12" operator="equal">
      <formula>"ALTO"</formula>
    </cfRule>
    <cfRule type="cellIs" dxfId="207" priority="13" operator="equal">
      <formula>"BAJO"</formula>
    </cfRule>
    <cfRule type="cellIs" dxfId="206" priority="14" operator="equal">
      <formula>"MODERADO"</formula>
    </cfRule>
  </conditionalFormatting>
  <conditionalFormatting sqref="AH17:AH18">
    <cfRule type="cellIs" dxfId="205" priority="6" operator="equal">
      <formula>"Muy Baja"</formula>
    </cfRule>
    <cfRule type="cellIs" dxfId="204" priority="7" operator="equal">
      <formula>"Baja"</formula>
    </cfRule>
    <cfRule type="cellIs" dxfId="203" priority="8" operator="equal">
      <formula>"Media"</formula>
    </cfRule>
    <cfRule type="cellIs" dxfId="202" priority="9" operator="equal">
      <formula>"Muy Alta"</formula>
    </cfRule>
    <cfRule type="cellIs" dxfId="201" priority="10" operator="equal">
      <formula>"Alta"</formula>
    </cfRule>
  </conditionalFormatting>
  <conditionalFormatting sqref="AJ17:AJ18">
    <cfRule type="cellIs" dxfId="200" priority="1" operator="equal">
      <formula>"Catastrófico"</formula>
    </cfRule>
    <cfRule type="cellIs" dxfId="199" priority="2" operator="equal">
      <formula>"Mayor"</formula>
    </cfRule>
    <cfRule type="cellIs" dxfId="198" priority="3" operator="equal">
      <formula>"Moderado"</formula>
    </cfRule>
    <cfRule type="cellIs" dxfId="197" priority="4" operator="equal">
      <formula>"Menor"</formula>
    </cfRule>
    <cfRule type="cellIs" dxfId="196" priority="5" operator="equal">
      <formula>"Leve"</formula>
    </cfRule>
  </conditionalFormatting>
  <hyperlinks>
    <hyperlink ref="A14:O15" location="Instructivo!A1" display="IDENTIFICACIÓN DEL RIESGO" xr:uid="{A6A0385F-971B-4B0E-897B-9A4A30CBCE70}"/>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B9D8E-20BC-49FE-9FA6-6F75E0F3BDCB}">
  <sheetPr>
    <tabColor theme="0"/>
    <pageSetUpPr fitToPage="1"/>
  </sheetPr>
  <dimension ref="A1:BA31"/>
  <sheetViews>
    <sheetView showGridLines="0" view="pageBreakPreview" topLeftCell="AN16" zoomScale="60" zoomScaleNormal="60" workbookViewId="0">
      <pane ySplit="1" topLeftCell="A17" activePane="bottomLeft" state="frozen"/>
      <selection activeCell="AX17" sqref="AX17"/>
      <selection pane="bottomLeft" activeCell="AX17" sqref="AX17"/>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88671875" customWidth="1"/>
    <col min="12" max="12" width="20.109375"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23" width="46.6640625" style="1" customWidth="1"/>
    <col min="24" max="24" width="15.88671875" style="1" customWidth="1"/>
    <col min="25" max="27" width="10.33203125" style="1" customWidth="1"/>
    <col min="28" max="28" width="6" style="1" customWidth="1"/>
    <col min="29" max="29" width="13.6640625" style="1" customWidth="1"/>
    <col min="30" max="30" width="7.5546875" style="1" customWidth="1"/>
    <col min="31" max="31" width="5.6640625" style="1" customWidth="1"/>
    <col min="32" max="32" width="40.109375"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5546875" style="4" customWidth="1"/>
    <col min="41" max="41" width="1" style="4" customWidth="1"/>
    <col min="42" max="42" width="26.88671875" style="4" customWidth="1"/>
    <col min="43" max="43" width="26.6640625" style="1" customWidth="1"/>
    <col min="44" max="44" width="20.88671875" style="1" customWidth="1"/>
    <col min="45" max="45" width="1" customWidth="1"/>
    <col min="46" max="46" width="18.33203125" customWidth="1"/>
    <col min="47" max="47" width="45" customWidth="1"/>
    <col min="48" max="48" width="37.33203125" customWidth="1"/>
    <col min="49" max="49" width="33" customWidth="1"/>
    <col min="50" max="50" width="45" customWidth="1"/>
    <col min="51" max="51" width="1" customWidth="1"/>
    <col min="52" max="53" width="41.4414062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4</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399999999999999"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284</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45828</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29" t="s">
        <v>509</v>
      </c>
      <c r="E10" s="230"/>
      <c r="F10" s="230"/>
      <c r="G10" s="230"/>
      <c r="H10" s="230"/>
      <c r="I10" s="230"/>
      <c r="J10" s="230"/>
      <c r="K10" s="230"/>
      <c r="L10" s="230"/>
      <c r="M10" s="231"/>
      <c r="N10" s="21"/>
      <c r="AN10" s="1"/>
      <c r="AO10" s="1"/>
      <c r="AP10" s="1"/>
    </row>
    <row r="11" spans="1:53" s="3" customFormat="1" ht="75" customHeight="1" x14ac:dyDescent="0.3">
      <c r="A11" s="194" t="s">
        <v>11</v>
      </c>
      <c r="B11" s="194"/>
      <c r="C11" s="194"/>
      <c r="D11" s="233" t="s">
        <v>510</v>
      </c>
      <c r="E11" s="234"/>
      <c r="F11" s="234"/>
      <c r="G11" s="234"/>
      <c r="H11" s="234"/>
      <c r="I11" s="234"/>
      <c r="J11" s="234"/>
      <c r="K11" s="234"/>
      <c r="L11" s="234"/>
      <c r="M11" s="235"/>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94" t="s">
        <v>13</v>
      </c>
      <c r="B12" s="194"/>
      <c r="C12" s="194"/>
      <c r="D12" s="233" t="s">
        <v>511</v>
      </c>
      <c r="E12" s="234"/>
      <c r="F12" s="234"/>
      <c r="G12" s="234"/>
      <c r="H12" s="234"/>
      <c r="I12" s="234"/>
      <c r="J12" s="234"/>
      <c r="K12" s="234"/>
      <c r="L12" s="234"/>
      <c r="M12" s="235"/>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66" t="s">
        <v>15</v>
      </c>
      <c r="B14" s="167"/>
      <c r="C14" s="167"/>
      <c r="D14" s="167"/>
      <c r="E14" s="167"/>
      <c r="F14" s="167"/>
      <c r="G14" s="167"/>
      <c r="H14" s="167"/>
      <c r="I14" s="167"/>
      <c r="J14" s="167"/>
      <c r="K14" s="167"/>
      <c r="L14" s="167"/>
      <c r="M14" s="167"/>
      <c r="N14" s="168"/>
      <c r="O14" s="169"/>
      <c r="P14" s="2"/>
      <c r="Q14" s="174" t="s">
        <v>16</v>
      </c>
      <c r="R14" s="175"/>
      <c r="S14" s="175"/>
      <c r="T14" s="175"/>
      <c r="U14" s="175"/>
      <c r="V14" s="175"/>
      <c r="W14" s="175"/>
      <c r="X14" s="175"/>
      <c r="Y14" s="176"/>
      <c r="Z14" s="176"/>
      <c r="AA14" s="176"/>
      <c r="AB14" s="176"/>
      <c r="AC14" s="176"/>
      <c r="AD14" s="176"/>
      <c r="AE14" s="176"/>
      <c r="AF14" s="175"/>
      <c r="AG14" s="175"/>
      <c r="AH14" s="175"/>
      <c r="AI14" s="175"/>
      <c r="AJ14" s="175"/>
      <c r="AK14" s="175"/>
      <c r="AL14" s="175"/>
      <c r="AM14" s="175"/>
      <c r="AN14" s="177"/>
      <c r="AO14" s="2"/>
      <c r="AP14" s="178" t="s">
        <v>17</v>
      </c>
      <c r="AQ14" s="179"/>
      <c r="AR14" s="180"/>
      <c r="AT14" s="184" t="s">
        <v>18</v>
      </c>
      <c r="AU14" s="185"/>
      <c r="AV14" s="185"/>
      <c r="AW14" s="185"/>
      <c r="AX14" s="186"/>
      <c r="AY14" s="27"/>
      <c r="AZ14" s="178" t="s">
        <v>19</v>
      </c>
      <c r="BA14" s="180"/>
    </row>
    <row r="15" spans="1:53" x14ac:dyDescent="0.3">
      <c r="A15" s="170"/>
      <c r="B15" s="171"/>
      <c r="C15" s="171"/>
      <c r="D15" s="171"/>
      <c r="E15" s="171"/>
      <c r="F15" s="171"/>
      <c r="G15" s="171"/>
      <c r="H15" s="171"/>
      <c r="I15" s="171"/>
      <c r="J15" s="171"/>
      <c r="K15" s="171"/>
      <c r="L15" s="171"/>
      <c r="M15" s="171"/>
      <c r="N15" s="172"/>
      <c r="O15" s="173"/>
      <c r="P15" s="2"/>
      <c r="Q15" s="23"/>
      <c r="R15" s="24"/>
      <c r="S15" s="24"/>
      <c r="T15" s="24"/>
      <c r="U15" s="24"/>
      <c r="V15" s="24"/>
      <c r="W15" s="24"/>
      <c r="X15" s="24"/>
      <c r="Y15" s="189" t="s">
        <v>20</v>
      </c>
      <c r="Z15" s="190"/>
      <c r="AA15" s="191"/>
      <c r="AB15" s="189" t="s">
        <v>21</v>
      </c>
      <c r="AC15" s="190"/>
      <c r="AD15" s="190"/>
      <c r="AE15" s="190"/>
      <c r="AF15" s="191"/>
      <c r="AG15" s="192"/>
      <c r="AH15" s="192"/>
      <c r="AI15" s="192"/>
      <c r="AJ15" s="192"/>
      <c r="AK15" s="192"/>
      <c r="AL15" s="192"/>
      <c r="AM15" s="192"/>
      <c r="AN15" s="193"/>
      <c r="AO15" s="2"/>
      <c r="AP15" s="181"/>
      <c r="AQ15" s="182"/>
      <c r="AR15" s="183"/>
      <c r="AT15" s="187"/>
      <c r="AU15" s="182"/>
      <c r="AV15" s="182"/>
      <c r="AW15" s="182"/>
      <c r="AX15" s="188"/>
      <c r="AY15" s="27"/>
      <c r="AZ15" s="181"/>
      <c r="BA15" s="183"/>
    </row>
    <row r="16" spans="1:53" s="5" customFormat="1" ht="120" customHeight="1" x14ac:dyDescent="0.3">
      <c r="A16" s="9" t="s">
        <v>22</v>
      </c>
      <c r="B16" s="10" t="s">
        <v>23</v>
      </c>
      <c r="C16" s="11" t="s">
        <v>24</v>
      </c>
      <c r="D16" s="11" t="s">
        <v>25</v>
      </c>
      <c r="E16" s="12" t="s">
        <v>26</v>
      </c>
      <c r="F16" s="19" t="s">
        <v>27</v>
      </c>
      <c r="G16" s="29" t="s">
        <v>28</v>
      </c>
      <c r="H16" s="12" t="s">
        <v>29</v>
      </c>
      <c r="I16" s="11" t="s">
        <v>30</v>
      </c>
      <c r="J16" s="11" t="s">
        <v>31</v>
      </c>
      <c r="K16" s="12" t="s">
        <v>32</v>
      </c>
      <c r="L16" s="12" t="s">
        <v>33</v>
      </c>
      <c r="M16" s="11" t="s">
        <v>30</v>
      </c>
      <c r="N16" s="11" t="s">
        <v>34</v>
      </c>
      <c r="O16" s="13" t="s">
        <v>35</v>
      </c>
      <c r="P16" s="2"/>
      <c r="Q16" s="14" t="s">
        <v>36</v>
      </c>
      <c r="R16" s="95" t="s">
        <v>37</v>
      </c>
      <c r="S16" s="95" t="s">
        <v>38</v>
      </c>
      <c r="T16" s="95" t="s">
        <v>39</v>
      </c>
      <c r="U16" s="95" t="s">
        <v>40</v>
      </c>
      <c r="V16" s="95" t="s">
        <v>41</v>
      </c>
      <c r="W16" s="95" t="s">
        <v>42</v>
      </c>
      <c r="X16" s="25" t="s">
        <v>43</v>
      </c>
      <c r="Y16" s="44" t="s">
        <v>44</v>
      </c>
      <c r="Z16" s="44" t="s">
        <v>45</v>
      </c>
      <c r="AA16" s="16" t="s">
        <v>46</v>
      </c>
      <c r="AB16" s="161" t="s">
        <v>47</v>
      </c>
      <c r="AC16" s="162"/>
      <c r="AD16" s="16" t="s">
        <v>48</v>
      </c>
      <c r="AE16" s="161" t="s">
        <v>49</v>
      </c>
      <c r="AF16" s="162"/>
      <c r="AG16" s="17" t="s">
        <v>50</v>
      </c>
      <c r="AH16" s="17" t="s">
        <v>51</v>
      </c>
      <c r="AI16" s="17" t="s">
        <v>30</v>
      </c>
      <c r="AJ16" s="17" t="s">
        <v>52</v>
      </c>
      <c r="AK16" s="17" t="s">
        <v>30</v>
      </c>
      <c r="AL16" s="17" t="s">
        <v>34</v>
      </c>
      <c r="AM16" s="17" t="s">
        <v>53</v>
      </c>
      <c r="AN16" s="13" t="s">
        <v>54</v>
      </c>
      <c r="AO16" s="2"/>
      <c r="AP16" s="18" t="s">
        <v>55</v>
      </c>
      <c r="AQ16" s="15" t="s">
        <v>56</v>
      </c>
      <c r="AR16" s="26" t="s">
        <v>57</v>
      </c>
      <c r="AT16" s="40" t="s">
        <v>58</v>
      </c>
      <c r="AU16" s="42" t="s">
        <v>59</v>
      </c>
      <c r="AV16" s="42" t="s">
        <v>60</v>
      </c>
      <c r="AW16" s="42" t="s">
        <v>61</v>
      </c>
      <c r="AX16" s="41" t="s">
        <v>62</v>
      </c>
      <c r="AY16" s="28"/>
      <c r="AZ16" s="43" t="s">
        <v>63</v>
      </c>
      <c r="BA16" s="96" t="s">
        <v>64</v>
      </c>
    </row>
    <row r="17" spans="1:53" ht="380.25" customHeight="1" x14ac:dyDescent="0.3">
      <c r="A17" s="163">
        <v>1</v>
      </c>
      <c r="B17" s="237" t="s">
        <v>65</v>
      </c>
      <c r="C17" s="165" t="s">
        <v>512</v>
      </c>
      <c r="D17" s="165" t="s">
        <v>513</v>
      </c>
      <c r="E17" s="165" t="s">
        <v>514</v>
      </c>
      <c r="F17" s="165"/>
      <c r="G17" s="280">
        <v>158</v>
      </c>
      <c r="H17" s="160" t="str">
        <f>IF(G17&lt;=0,"",IF(G17&lt;=2,"Muy Baja",IF(G17&lt;=24,"Baja",IF(G17&lt;=500,"Media",IF(G17&lt;=5000,"Alta","Muy Alta")))))</f>
        <v>Media</v>
      </c>
      <c r="I17" s="157">
        <f>IF(H17="","",IF(H17="Muy Baja",0.2,IF(H17="Baja",0.4,IF(H17="Media",0.6,IF(H17="Alta",0.8,IF(H17="Muy Alta",1,))))))</f>
        <v>0.6</v>
      </c>
      <c r="J17" s="238" t="s">
        <v>149</v>
      </c>
      <c r="K17" s="239" t="str">
        <f>+J17</f>
        <v>El riesgo afecta la imagen de la entidad internamente, de conocimiento general nivel interno, de junta directiva y/o de proveedores</v>
      </c>
      <c r="L17" s="160" t="str">
        <f>+VLOOKUP(K17,[5]Datos!$O$4:$P$15,2,FALSE)</f>
        <v>Menor</v>
      </c>
      <c r="M17" s="157">
        <f>IF(L17="","",IF(L17="Leve",0.2,IF(L17="Menor",0.4,IF(L17="Moderado",0.6,IF(L17="Mayor",0.8,IF(L17="Catastrófico",1,))))))</f>
        <v>0.4</v>
      </c>
      <c r="N17" s="157" t="str">
        <f>+CONCATENATE(H17, " - ", L17)</f>
        <v>Media - Menor</v>
      </c>
      <c r="O17" s="240" t="str">
        <f>+VLOOKUP(N17,[5]Datos!J4:K28,2,)</f>
        <v>MODERADO</v>
      </c>
      <c r="P17" s="99"/>
      <c r="Q17" s="100">
        <v>1</v>
      </c>
      <c r="R17" s="127" t="s">
        <v>515</v>
      </c>
      <c r="S17" s="127" t="s">
        <v>516</v>
      </c>
      <c r="T17" s="127" t="s">
        <v>517</v>
      </c>
      <c r="U17" s="127" t="s">
        <v>518</v>
      </c>
      <c r="V17" s="127" t="s">
        <v>519</v>
      </c>
      <c r="W17" s="127" t="s">
        <v>520</v>
      </c>
      <c r="X17" s="30" t="str">
        <f>IF(OR(Y17="Preventivo",Y17="Detectivo"),"Probabilidad",IF(Y17="Correctivo","Impacto",""))</f>
        <v>Probabilidad</v>
      </c>
      <c r="Y17" s="6" t="s">
        <v>98</v>
      </c>
      <c r="Z17" s="6" t="s">
        <v>77</v>
      </c>
      <c r="AA17" s="31" t="str">
        <f t="shared" ref="AA17:AA21" si="0">IF(AND(Y17="Preventivo",Z17="Automático"),"50%",IF(AND(Y17="Preventivo",Z17="Manual"),"40%",IF(AND(Y17="Detectivo",Z17="Automático"),"40%",IF(AND(Y17="Detectivo",Z17="Manual"),"30%",IF(AND(Y17="Correctivo",Z17="Automático"),"35%",IF(AND(Y17="Correctivo",Z17="Manual"),"25%",""))))))</f>
        <v>30%</v>
      </c>
      <c r="AB17" s="242" t="s">
        <v>78</v>
      </c>
      <c r="AC17" s="242" t="s">
        <v>521</v>
      </c>
      <c r="AD17" s="6" t="s">
        <v>99</v>
      </c>
      <c r="AE17" s="8" t="s">
        <v>81</v>
      </c>
      <c r="AF17" s="8" t="str">
        <f>+W17</f>
        <v>Comprobante de Ingreso de almacén con la firma de revisado  Correos con las novedades o solicitud de corrección (Cuando aplique)</v>
      </c>
      <c r="AG17" s="32">
        <f>IFERROR(IF(X17="Probabilidad",(I17-(+I17*AA17)),IF(X17="Impacto",I17,"")),"")</f>
        <v>0.42</v>
      </c>
      <c r="AH17" s="33" t="str">
        <f t="shared" ref="AH17:AH21" si="1">IFERROR(IF(AG17="","",IF(AG17&lt;=0.2,"Muy Baja",IF(AG17&lt;=0.4,"Baja",IF(AG17&lt;=0.6,"Media",IF(AG17&lt;=0.8,"Alta","Muy Alta"))))),"")</f>
        <v>Media</v>
      </c>
      <c r="AI17" s="34">
        <f>I17-(AA17*I17)</f>
        <v>0.42</v>
      </c>
      <c r="AJ17" s="35" t="str">
        <f t="shared" ref="AJ17:AJ21" si="2">IFERROR(IF(AK17="","",IF(AK17&lt;=0.2,"Leve",IF(AK17&lt;=0.4,"Menor",IF(AK17&lt;=0.6,"Moderado",IF(AK17&lt;=0.8,"Mayor","Catastrófico"))))),"")</f>
        <v>Menor</v>
      </c>
      <c r="AK17" s="32">
        <f>IFERROR(IF(X17="Impacto",(M17-(+M17*AA17)),IF(X17="Probabilidad",M17,"")),"")</f>
        <v>0.4</v>
      </c>
      <c r="AL17" s="36" t="str">
        <f>+CONCATENATE(AH17, " - ", AJ17)</f>
        <v>Media - Menor</v>
      </c>
      <c r="AM17" s="37" t="str">
        <f>+VLOOKUP(AL17,[5]Datos!$J$4:$K$28,2,)</f>
        <v>MODERADO</v>
      </c>
      <c r="AN17" s="154" t="s">
        <v>82</v>
      </c>
      <c r="AO17" s="99"/>
      <c r="AP17" s="243" t="s">
        <v>138</v>
      </c>
      <c r="AQ17" s="244"/>
      <c r="AR17" s="245"/>
      <c r="AS17" s="102"/>
      <c r="AT17" s="448">
        <v>46153</v>
      </c>
      <c r="AU17" s="327" t="s">
        <v>522</v>
      </c>
      <c r="AV17" s="446" t="s">
        <v>523</v>
      </c>
      <c r="AW17" s="446" t="s">
        <v>524</v>
      </c>
      <c r="AX17" s="129" t="s">
        <v>525</v>
      </c>
      <c r="AY17" s="104"/>
      <c r="AZ17" s="449" t="s">
        <v>526</v>
      </c>
      <c r="BA17" s="450" t="s">
        <v>527</v>
      </c>
    </row>
    <row r="18" spans="1:53" ht="219.75" customHeight="1" x14ac:dyDescent="0.3">
      <c r="A18" s="163"/>
      <c r="B18" s="237"/>
      <c r="C18" s="165"/>
      <c r="D18" s="165"/>
      <c r="E18" s="165"/>
      <c r="F18" s="165"/>
      <c r="G18" s="280"/>
      <c r="H18" s="160"/>
      <c r="I18" s="157"/>
      <c r="J18" s="238"/>
      <c r="K18" s="239"/>
      <c r="L18" s="160"/>
      <c r="M18" s="157"/>
      <c r="N18" s="157"/>
      <c r="O18" s="240"/>
      <c r="P18" s="99"/>
      <c r="Q18" s="241">
        <v>2</v>
      </c>
      <c r="R18" s="127" t="s">
        <v>528</v>
      </c>
      <c r="S18" s="127" t="s">
        <v>529</v>
      </c>
      <c r="T18" s="127" t="s">
        <v>530</v>
      </c>
      <c r="U18" s="127" t="s">
        <v>531</v>
      </c>
      <c r="V18" s="127" t="s">
        <v>532</v>
      </c>
      <c r="W18" s="127" t="s">
        <v>533</v>
      </c>
      <c r="X18" s="30" t="str">
        <f t="shared" ref="X18:X21" si="3">IF(OR(Y18="Preventivo",Y18="Detectivo"),"Probabilidad",IF(Y18="Correctivo","Impacto",""))</f>
        <v>Probabilidad</v>
      </c>
      <c r="Y18" s="6" t="s">
        <v>98</v>
      </c>
      <c r="Z18" s="6" t="s">
        <v>77</v>
      </c>
      <c r="AA18" s="31" t="str">
        <f t="shared" si="0"/>
        <v>30%</v>
      </c>
      <c r="AB18" s="242" t="s">
        <v>78</v>
      </c>
      <c r="AC18" s="242" t="s">
        <v>534</v>
      </c>
      <c r="AD18" s="6" t="s">
        <v>99</v>
      </c>
      <c r="AE18" s="8" t="s">
        <v>81</v>
      </c>
      <c r="AF18" s="8" t="str">
        <f>+W18</f>
        <v xml:space="preserve">Solicitud De Bienes De Consumo, Consumo Controlado o Devolutivos A-GIAE-FT-002
Correo electrónico ( Cuando aplique) </v>
      </c>
      <c r="AG18" s="34">
        <f t="shared" ref="AG18:AG21" si="4">IFERROR(IF(AND(X17="Probabilidad",X18="Probabilidad"),(AI17-(+AI17*AA18)),IF(X18="Probabilidad",($I$17-(+$I$17*AA18)),IF(X18="Impacto",AI17,""))),"")</f>
        <v>0.29399999999999998</v>
      </c>
      <c r="AH18" s="33" t="str">
        <f t="shared" si="1"/>
        <v>Baja</v>
      </c>
      <c r="AI18" s="34">
        <f t="shared" ref="AI18:AI21" si="5">+AG18</f>
        <v>0.29399999999999998</v>
      </c>
      <c r="AJ18" s="35" t="str">
        <f t="shared" si="2"/>
        <v>Menor</v>
      </c>
      <c r="AK18" s="32">
        <f t="shared" ref="AK18:AK21" si="6">IFERROR(IF(AND(X17="Impacto",X17="Impacto"),(AK17-(+AK17*AA18)),IF(X18="Impacto",($M$17-(+$M$17*AA18)),IF(X18="Probabilidad",AK17,""))),"")</f>
        <v>0.4</v>
      </c>
      <c r="AL18" s="36" t="str">
        <f t="shared" ref="AL18:AL21" si="7">+CONCATENATE(AH18, " - ", AJ18)</f>
        <v>Baja - Menor</v>
      </c>
      <c r="AM18" s="37" t="str">
        <f>+VLOOKUP(AL18,[5]Datos!$J$4:$K$28,2,)</f>
        <v>MODERADO</v>
      </c>
      <c r="AN18" s="154"/>
      <c r="AO18" s="99"/>
      <c r="AP18" s="243"/>
      <c r="AQ18" s="244"/>
      <c r="AR18" s="245"/>
      <c r="AS18" s="102"/>
      <c r="AT18" s="448">
        <v>46153</v>
      </c>
      <c r="AU18" s="327" t="s">
        <v>535</v>
      </c>
      <c r="AV18" s="446" t="s">
        <v>523</v>
      </c>
      <c r="AW18" s="451" t="s">
        <v>536</v>
      </c>
      <c r="AX18" s="129" t="s">
        <v>537</v>
      </c>
      <c r="AY18" s="104"/>
      <c r="AZ18" s="452"/>
      <c r="BA18" s="450"/>
    </row>
    <row r="19" spans="1:53" ht="384" customHeight="1" x14ac:dyDescent="0.3">
      <c r="A19" s="163"/>
      <c r="B19" s="237"/>
      <c r="C19" s="165"/>
      <c r="D19" s="165"/>
      <c r="E19" s="165"/>
      <c r="F19" s="165"/>
      <c r="G19" s="280"/>
      <c r="H19" s="160"/>
      <c r="I19" s="157"/>
      <c r="J19" s="238"/>
      <c r="K19" s="239"/>
      <c r="L19" s="160"/>
      <c r="M19" s="157"/>
      <c r="N19" s="157"/>
      <c r="O19" s="240"/>
      <c r="P19" s="99"/>
      <c r="Q19" s="100">
        <v>3</v>
      </c>
      <c r="R19" s="127" t="s">
        <v>528</v>
      </c>
      <c r="S19" s="253" t="s">
        <v>538</v>
      </c>
      <c r="T19" s="254" t="s">
        <v>539</v>
      </c>
      <c r="U19" s="127" t="s">
        <v>540</v>
      </c>
      <c r="V19" s="127" t="s">
        <v>541</v>
      </c>
      <c r="W19" s="127" t="s">
        <v>542</v>
      </c>
      <c r="X19" s="30" t="str">
        <f t="shared" si="3"/>
        <v>Probabilidad</v>
      </c>
      <c r="Y19" s="6" t="s">
        <v>98</v>
      </c>
      <c r="Z19" s="6" t="s">
        <v>77</v>
      </c>
      <c r="AA19" s="31" t="str">
        <f t="shared" si="0"/>
        <v>30%</v>
      </c>
      <c r="AB19" s="242" t="s">
        <v>78</v>
      </c>
      <c r="AC19" s="242" t="s">
        <v>534</v>
      </c>
      <c r="AD19" s="6" t="s">
        <v>99</v>
      </c>
      <c r="AE19" s="8" t="s">
        <v>81</v>
      </c>
      <c r="AF19" s="8" t="str">
        <f t="shared" ref="AF19:AF21" si="8">+W19</f>
        <v>Traslado, Salida y Entrega de Elementos de Consumo A-GIAE-FT-003</v>
      </c>
      <c r="AG19" s="32">
        <f t="shared" si="4"/>
        <v>0.20579999999999998</v>
      </c>
      <c r="AH19" s="33" t="str">
        <f t="shared" si="1"/>
        <v>Baja</v>
      </c>
      <c r="AI19" s="34">
        <f t="shared" si="5"/>
        <v>0.20579999999999998</v>
      </c>
      <c r="AJ19" s="35" t="str">
        <f t="shared" si="2"/>
        <v>Menor</v>
      </c>
      <c r="AK19" s="32">
        <f t="shared" si="6"/>
        <v>0.4</v>
      </c>
      <c r="AL19" s="36" t="str">
        <f t="shared" si="7"/>
        <v>Baja - Menor</v>
      </c>
      <c r="AM19" s="37" t="str">
        <f>+VLOOKUP(AL19,[5]Datos!$J$4:$K$28,2,)</f>
        <v>MODERADO</v>
      </c>
      <c r="AN19" s="154"/>
      <c r="AO19" s="99"/>
      <c r="AP19" s="243"/>
      <c r="AQ19" s="244"/>
      <c r="AR19" s="245"/>
      <c r="AS19" s="102"/>
      <c r="AT19" s="448">
        <v>46153</v>
      </c>
      <c r="AU19" s="327" t="s">
        <v>543</v>
      </c>
      <c r="AV19" s="446" t="s">
        <v>544</v>
      </c>
      <c r="AW19" s="451" t="s">
        <v>536</v>
      </c>
      <c r="AX19" s="129" t="s">
        <v>545</v>
      </c>
      <c r="AY19" s="104"/>
      <c r="AZ19" s="452"/>
      <c r="BA19" s="450"/>
    </row>
    <row r="20" spans="1:53" ht="270" customHeight="1" x14ac:dyDescent="0.3">
      <c r="A20" s="163"/>
      <c r="B20" s="237"/>
      <c r="C20" s="165"/>
      <c r="D20" s="165"/>
      <c r="E20" s="165"/>
      <c r="F20" s="165"/>
      <c r="G20" s="280"/>
      <c r="H20" s="160"/>
      <c r="I20" s="157"/>
      <c r="J20" s="238"/>
      <c r="K20" s="239"/>
      <c r="L20" s="160"/>
      <c r="M20" s="157"/>
      <c r="N20" s="157"/>
      <c r="O20" s="240"/>
      <c r="P20" s="99"/>
      <c r="Q20" s="100">
        <v>4</v>
      </c>
      <c r="R20" s="127" t="s">
        <v>546</v>
      </c>
      <c r="S20" s="253" t="s">
        <v>547</v>
      </c>
      <c r="T20" s="254" t="s">
        <v>548</v>
      </c>
      <c r="U20" s="127" t="s">
        <v>549</v>
      </c>
      <c r="V20" s="127" t="s">
        <v>550</v>
      </c>
      <c r="W20" s="127" t="s">
        <v>551</v>
      </c>
      <c r="X20" s="30" t="str">
        <f t="shared" si="3"/>
        <v>Probabilidad</v>
      </c>
      <c r="Y20" s="6" t="s">
        <v>98</v>
      </c>
      <c r="Z20" s="6" t="s">
        <v>77</v>
      </c>
      <c r="AA20" s="31" t="str">
        <f t="shared" si="0"/>
        <v>30%</v>
      </c>
      <c r="AB20" s="8" t="s">
        <v>78</v>
      </c>
      <c r="AC20" s="242" t="s">
        <v>534</v>
      </c>
      <c r="AD20" s="6" t="s">
        <v>99</v>
      </c>
      <c r="AE20" s="8" t="s">
        <v>81</v>
      </c>
      <c r="AF20" s="8" t="str">
        <f t="shared" si="8"/>
        <v xml:space="preserve"> Captura de pantalla del Formato Tarjeta de Kardex Mural A-GIAE-FT-004</v>
      </c>
      <c r="AG20" s="32">
        <f t="shared" si="4"/>
        <v>0.14405999999999999</v>
      </c>
      <c r="AH20" s="33" t="str">
        <f t="shared" si="1"/>
        <v>Muy Baja</v>
      </c>
      <c r="AI20" s="34">
        <f t="shared" si="5"/>
        <v>0.14405999999999999</v>
      </c>
      <c r="AJ20" s="35" t="str">
        <f t="shared" si="2"/>
        <v>Menor</v>
      </c>
      <c r="AK20" s="32">
        <f t="shared" si="6"/>
        <v>0.4</v>
      </c>
      <c r="AL20" s="36" t="str">
        <f t="shared" si="7"/>
        <v>Muy Baja - Menor</v>
      </c>
      <c r="AM20" s="37" t="str">
        <f>+VLOOKUP(AL20,[5]Datos!$J$4:$K$28,2,)</f>
        <v>BAJO</v>
      </c>
      <c r="AN20" s="154"/>
      <c r="AO20" s="99"/>
      <c r="AP20" s="243"/>
      <c r="AQ20" s="244"/>
      <c r="AR20" s="245"/>
      <c r="AS20" s="102"/>
      <c r="AT20" s="448">
        <v>46153</v>
      </c>
      <c r="AU20" s="327" t="s">
        <v>552</v>
      </c>
      <c r="AV20" s="446" t="s">
        <v>553</v>
      </c>
      <c r="AW20" s="446" t="s">
        <v>554</v>
      </c>
      <c r="AX20" s="129" t="s">
        <v>555</v>
      </c>
      <c r="AY20" s="104"/>
      <c r="AZ20" s="452"/>
      <c r="BA20" s="450"/>
    </row>
    <row r="21" spans="1:53" ht="390" customHeight="1" x14ac:dyDescent="0.3">
      <c r="A21" s="163"/>
      <c r="B21" s="237"/>
      <c r="C21" s="165"/>
      <c r="D21" s="165"/>
      <c r="E21" s="165"/>
      <c r="F21" s="165"/>
      <c r="G21" s="280"/>
      <c r="H21" s="160"/>
      <c r="I21" s="157"/>
      <c r="J21" s="238"/>
      <c r="K21" s="239"/>
      <c r="L21" s="160"/>
      <c r="M21" s="157"/>
      <c r="N21" s="157"/>
      <c r="O21" s="240"/>
      <c r="P21" s="99"/>
      <c r="Q21" s="241">
        <v>5</v>
      </c>
      <c r="R21" s="127" t="s">
        <v>556</v>
      </c>
      <c r="S21" s="253" t="s">
        <v>557</v>
      </c>
      <c r="T21" s="254" t="s">
        <v>558</v>
      </c>
      <c r="U21" s="127" t="s">
        <v>559</v>
      </c>
      <c r="V21" s="127" t="s">
        <v>560</v>
      </c>
      <c r="W21" s="127" t="s">
        <v>561</v>
      </c>
      <c r="X21" s="30" t="str">
        <f t="shared" si="3"/>
        <v>Impacto</v>
      </c>
      <c r="Y21" s="6" t="s">
        <v>151</v>
      </c>
      <c r="Z21" s="6" t="s">
        <v>77</v>
      </c>
      <c r="AA21" s="31" t="str">
        <f t="shared" si="0"/>
        <v>25%</v>
      </c>
      <c r="AB21" s="8" t="s">
        <v>78</v>
      </c>
      <c r="AC21" s="242" t="s">
        <v>562</v>
      </c>
      <c r="AD21" s="6" t="s">
        <v>99</v>
      </c>
      <c r="AE21" s="8" t="s">
        <v>81</v>
      </c>
      <c r="AF21" s="8" t="str">
        <f t="shared" si="8"/>
        <v>Reporte en Excel con la relación de los casos registrados en la mesa de ayuda</v>
      </c>
      <c r="AG21" s="32">
        <f t="shared" si="4"/>
        <v>0.14405999999999999</v>
      </c>
      <c r="AH21" s="33" t="str">
        <f t="shared" si="1"/>
        <v>Muy Baja</v>
      </c>
      <c r="AI21" s="34">
        <f t="shared" si="5"/>
        <v>0.14405999999999999</v>
      </c>
      <c r="AJ21" s="35" t="str">
        <f t="shared" si="2"/>
        <v>Menor</v>
      </c>
      <c r="AK21" s="32">
        <f t="shared" si="6"/>
        <v>0.30000000000000004</v>
      </c>
      <c r="AL21" s="36" t="str">
        <f t="shared" si="7"/>
        <v>Muy Baja - Menor</v>
      </c>
      <c r="AM21" s="37" t="str">
        <f>+VLOOKUP(AL21,[5]Datos!$J$4:$K$28,2,)</f>
        <v>BAJO</v>
      </c>
      <c r="AN21" s="154"/>
      <c r="AO21" s="99"/>
      <c r="AP21" s="243"/>
      <c r="AQ21" s="244"/>
      <c r="AR21" s="245"/>
      <c r="AS21" s="102"/>
      <c r="AT21" s="448">
        <v>46153</v>
      </c>
      <c r="AU21" s="453" t="s">
        <v>563</v>
      </c>
      <c r="AV21" s="446" t="s">
        <v>564</v>
      </c>
      <c r="AW21" s="451" t="s">
        <v>536</v>
      </c>
      <c r="AX21" s="129" t="s">
        <v>565</v>
      </c>
      <c r="AY21" s="104"/>
      <c r="AZ21" s="454"/>
      <c r="BA21" s="450"/>
    </row>
    <row r="22" spans="1:53" ht="93.75" customHeight="1" x14ac:dyDescent="0.3">
      <c r="B22" s="76"/>
      <c r="C22" s="77"/>
      <c r="D22" s="77"/>
      <c r="E22" s="77"/>
      <c r="F22" s="77"/>
      <c r="G22" s="76"/>
      <c r="H22" s="455"/>
      <c r="I22" s="456"/>
      <c r="J22" s="79"/>
      <c r="K22" s="457"/>
      <c r="L22" s="455"/>
      <c r="M22" s="456"/>
      <c r="N22" s="456"/>
      <c r="O22" s="458"/>
      <c r="P22" s="2"/>
      <c r="Q22" s="82"/>
      <c r="R22" s="22"/>
      <c r="S22" s="22"/>
      <c r="T22" s="22"/>
      <c r="U22" s="22"/>
      <c r="V22" s="22"/>
      <c r="W22" s="22"/>
      <c r="X22" s="82"/>
      <c r="Y22" s="83"/>
      <c r="Z22" s="83"/>
      <c r="AA22" s="84"/>
      <c r="AB22" s="85"/>
      <c r="AC22" s="86"/>
      <c r="AD22" s="83"/>
      <c r="AE22" s="85"/>
      <c r="AF22" s="85"/>
      <c r="AG22" s="87"/>
      <c r="AH22" s="83"/>
      <c r="AI22" s="88"/>
      <c r="AJ22" s="89"/>
      <c r="AK22" s="87"/>
      <c r="AL22" s="90"/>
      <c r="AM22" s="91"/>
      <c r="AN22" s="92"/>
      <c r="AO22" s="2"/>
      <c r="AP22" s="74"/>
      <c r="AQ22" s="74"/>
      <c r="AR22" s="74"/>
      <c r="AT22" s="45"/>
      <c r="AU22" s="46"/>
      <c r="AV22" s="47"/>
      <c r="AW22" s="48"/>
      <c r="AX22" s="49"/>
      <c r="AY22" s="27"/>
      <c r="AZ22" s="47"/>
      <c r="BA22" s="50"/>
    </row>
    <row r="23" spans="1:53" ht="20.399999999999999" x14ac:dyDescent="0.3">
      <c r="A23" s="152" t="s">
        <v>103</v>
      </c>
      <c r="B23" s="152"/>
      <c r="C23" s="152"/>
      <c r="D23" s="152"/>
      <c r="E23" s="152"/>
      <c r="F23" s="152"/>
      <c r="G23" s="152"/>
      <c r="H23" s="152"/>
      <c r="P23" s="2"/>
      <c r="BA23" s="39" t="s">
        <v>104</v>
      </c>
    </row>
    <row r="24" spans="1:53" x14ac:dyDescent="0.3">
      <c r="P24" s="2"/>
    </row>
    <row r="25" spans="1:53" s="1" customFormat="1" x14ac:dyDescent="0.3">
      <c r="A25"/>
      <c r="B25"/>
      <c r="C25"/>
      <c r="D25"/>
      <c r="E25"/>
      <c r="F25"/>
      <c r="G25"/>
      <c r="H25"/>
      <c r="I25"/>
      <c r="J25"/>
      <c r="K25"/>
      <c r="P25" s="2"/>
      <c r="AN25" s="4"/>
      <c r="AO25" s="4"/>
      <c r="AP25" s="4"/>
      <c r="AS25"/>
      <c r="AT25"/>
      <c r="AU25"/>
      <c r="AV25"/>
      <c r="AW25"/>
      <c r="AX25"/>
      <c r="AY25"/>
      <c r="AZ25"/>
      <c r="BA25"/>
    </row>
    <row r="26" spans="1:53" s="1" customFormat="1" x14ac:dyDescent="0.3">
      <c r="A26"/>
      <c r="B26"/>
      <c r="C26"/>
      <c r="D26"/>
      <c r="E26"/>
      <c r="F26"/>
      <c r="G26"/>
      <c r="H26"/>
      <c r="I26"/>
      <c r="J26"/>
      <c r="K26"/>
      <c r="P26" s="2"/>
      <c r="AN26" s="4"/>
      <c r="AO26" s="4"/>
      <c r="AP26" s="4"/>
      <c r="AS26"/>
      <c r="AT26"/>
      <c r="AU26"/>
      <c r="AV26"/>
      <c r="AW26"/>
      <c r="AX26"/>
      <c r="AY26"/>
      <c r="AZ26"/>
      <c r="BA26"/>
    </row>
    <row r="27" spans="1:53" s="1" customFormat="1" x14ac:dyDescent="0.3">
      <c r="A27"/>
      <c r="B27"/>
      <c r="C27"/>
      <c r="D27"/>
      <c r="E27"/>
      <c r="F27"/>
      <c r="G27"/>
      <c r="H27"/>
      <c r="I27"/>
      <c r="J27"/>
      <c r="K27"/>
      <c r="P27" s="2"/>
      <c r="AN27" s="4"/>
      <c r="AO27" s="4"/>
      <c r="AP27" s="4"/>
      <c r="AS27"/>
      <c r="AT27"/>
      <c r="AU27"/>
      <c r="AV27"/>
      <c r="AW27"/>
      <c r="AX27"/>
      <c r="AY27"/>
      <c r="AZ27"/>
      <c r="BA27"/>
    </row>
    <row r="28" spans="1:53" s="1" customFormat="1" x14ac:dyDescent="0.3">
      <c r="A28"/>
      <c r="B28"/>
      <c r="C28"/>
      <c r="D28"/>
      <c r="E28"/>
      <c r="F28"/>
      <c r="G28"/>
      <c r="H28"/>
      <c r="I28"/>
      <c r="J28"/>
      <c r="K28"/>
      <c r="P28" s="2"/>
      <c r="AN28" s="4"/>
      <c r="AO28" s="4"/>
      <c r="AP28" s="4"/>
      <c r="AS28"/>
      <c r="AT28"/>
      <c r="AU28"/>
      <c r="AV28"/>
      <c r="AW28"/>
      <c r="AX28"/>
      <c r="AY28"/>
      <c r="AZ28"/>
      <c r="BA28"/>
    </row>
    <row r="29" spans="1:53" s="1" customFormat="1" x14ac:dyDescent="0.3">
      <c r="A29"/>
      <c r="B29"/>
      <c r="C29"/>
      <c r="D29"/>
      <c r="E29"/>
      <c r="F29"/>
      <c r="G29"/>
      <c r="H29"/>
      <c r="I29"/>
      <c r="J29"/>
      <c r="K29"/>
      <c r="P29" s="2"/>
      <c r="AN29" s="4"/>
      <c r="AO29" s="4"/>
      <c r="AP29" s="4"/>
      <c r="AS29"/>
      <c r="AT29"/>
      <c r="AU29"/>
      <c r="AV29"/>
      <c r="AW29"/>
      <c r="AX29"/>
      <c r="AY29"/>
      <c r="AZ29"/>
      <c r="BA29"/>
    </row>
    <row r="30" spans="1:53" s="1" customFormat="1" x14ac:dyDescent="0.3">
      <c r="A30"/>
      <c r="B30"/>
      <c r="C30"/>
      <c r="D30"/>
      <c r="E30"/>
      <c r="F30"/>
      <c r="G30"/>
      <c r="H30"/>
      <c r="I30"/>
      <c r="J30"/>
      <c r="K30"/>
      <c r="P30" s="2"/>
      <c r="AN30" s="4"/>
      <c r="AO30" s="4"/>
      <c r="AP30" s="4"/>
      <c r="AS30"/>
      <c r="AT30"/>
      <c r="AU30"/>
      <c r="AV30"/>
      <c r="AW30"/>
      <c r="AX30"/>
      <c r="AY30"/>
      <c r="AZ30"/>
      <c r="BA30"/>
    </row>
    <row r="31" spans="1:53" s="1" customFormat="1" x14ac:dyDescent="0.3">
      <c r="A31"/>
      <c r="B31"/>
      <c r="C31"/>
      <c r="D31"/>
      <c r="E31"/>
      <c r="F31"/>
      <c r="G31"/>
      <c r="H31"/>
      <c r="I31"/>
      <c r="J31"/>
      <c r="K31"/>
      <c r="P31" s="2"/>
      <c r="AN31" s="4"/>
      <c r="AO31" s="4"/>
      <c r="AP31" s="4"/>
      <c r="AS31"/>
      <c r="AT31"/>
      <c r="AU31"/>
      <c r="AV31"/>
      <c r="AW31"/>
      <c r="AX31"/>
      <c r="AY31"/>
      <c r="AZ31"/>
      <c r="BA31"/>
    </row>
  </sheetData>
  <mergeCells count="49">
    <mergeCell ref="BA17:BA21"/>
    <mergeCell ref="A23:H23"/>
    <mergeCell ref="O17:O21"/>
    <mergeCell ref="AN17:AN21"/>
    <mergeCell ref="AP17:AP21"/>
    <mergeCell ref="AQ17:AQ21"/>
    <mergeCell ref="AR17:AR21"/>
    <mergeCell ref="AZ17:AZ21"/>
    <mergeCell ref="I17:I21"/>
    <mergeCell ref="J17:J21"/>
    <mergeCell ref="K17:K21"/>
    <mergeCell ref="L17:L21"/>
    <mergeCell ref="M17:M21"/>
    <mergeCell ref="N17:N21"/>
    <mergeCell ref="AB16:AC16"/>
    <mergeCell ref="AE16:AF16"/>
    <mergeCell ref="A17:A21"/>
    <mergeCell ref="B17:B21"/>
    <mergeCell ref="C17:C21"/>
    <mergeCell ref="D17:D21"/>
    <mergeCell ref="E17:E21"/>
    <mergeCell ref="F17:F21"/>
    <mergeCell ref="G17:G21"/>
    <mergeCell ref="H17:H21"/>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22">
    <cfRule type="cellIs" dxfId="195" priority="20" operator="equal">
      <formula>"Muy Alta"</formula>
    </cfRule>
    <cfRule type="cellIs" dxfId="194" priority="21" operator="equal">
      <formula>"Alta"</formula>
    </cfRule>
    <cfRule type="cellIs" dxfId="193" priority="22" operator="equal">
      <formula>"Media"</formula>
    </cfRule>
    <cfRule type="cellIs" dxfId="192" priority="23" operator="equal">
      <formula>"Muy Baja"</formula>
    </cfRule>
    <cfRule type="cellIs" dxfId="191" priority="24" operator="equal">
      <formula>"Baja"</formula>
    </cfRule>
  </conditionalFormatting>
  <conditionalFormatting sqref="L17:L22">
    <cfRule type="cellIs" dxfId="190" priority="15" operator="equal">
      <formula>"Leve"</formula>
    </cfRule>
    <cfRule type="cellIs" dxfId="189" priority="16" operator="equal">
      <formula>"Catastrófico"</formula>
    </cfRule>
    <cfRule type="cellIs" dxfId="188" priority="17" operator="equal">
      <formula>"Mayor"</formula>
    </cfRule>
    <cfRule type="cellIs" dxfId="187" priority="18" operator="equal">
      <formula>"Moderado"</formula>
    </cfRule>
    <cfRule type="cellIs" dxfId="186" priority="19" operator="equal">
      <formula>"Menor"</formula>
    </cfRule>
  </conditionalFormatting>
  <conditionalFormatting sqref="O17:O22 AM17:AM22">
    <cfRule type="cellIs" dxfId="185" priority="11" operator="equal">
      <formula>"EXTREMO"</formula>
    </cfRule>
    <cfRule type="cellIs" dxfId="184" priority="12" operator="equal">
      <formula>"ALTO"</formula>
    </cfRule>
    <cfRule type="cellIs" dxfId="183" priority="13" operator="equal">
      <formula>"BAJO"</formula>
    </cfRule>
    <cfRule type="cellIs" dxfId="182" priority="14" operator="equal">
      <formula>"MODERADO"</formula>
    </cfRule>
  </conditionalFormatting>
  <conditionalFormatting sqref="AH17:AH22">
    <cfRule type="cellIs" dxfId="181" priority="6" operator="equal">
      <formula>"Muy Baja"</formula>
    </cfRule>
    <cfRule type="cellIs" dxfId="180" priority="7" operator="equal">
      <formula>"Baja"</formula>
    </cfRule>
    <cfRule type="cellIs" dxfId="179" priority="8" operator="equal">
      <formula>"Media"</formula>
    </cfRule>
    <cfRule type="cellIs" dxfId="178" priority="9" operator="equal">
      <formula>"Muy Alta"</formula>
    </cfRule>
    <cfRule type="cellIs" dxfId="177" priority="10" operator="equal">
      <formula>"Alta"</formula>
    </cfRule>
  </conditionalFormatting>
  <conditionalFormatting sqref="AJ17:AJ22">
    <cfRule type="cellIs" dxfId="176" priority="1" operator="equal">
      <formula>"Catastrófico"</formula>
    </cfRule>
    <cfRule type="cellIs" dxfId="175" priority="2" operator="equal">
      <formula>"Mayor"</formula>
    </cfRule>
    <cfRule type="cellIs" dxfId="174" priority="3" operator="equal">
      <formula>"Moderado"</formula>
    </cfRule>
    <cfRule type="cellIs" dxfId="173" priority="4" operator="equal">
      <formula>"Menor"</formula>
    </cfRule>
    <cfRule type="cellIs" dxfId="172" priority="5" operator="equal">
      <formula>"Leve"</formula>
    </cfRule>
  </conditionalFormatting>
  <hyperlinks>
    <hyperlink ref="A14:O15" location="Instructivo!A1" display="IDENTIFICACIÓN DEL RIESGO" xr:uid="{413FF034-81F8-4D45-B226-94C367F5FDD9}"/>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569FC-EA71-4AFA-8C98-3EA44FD777C2}">
  <sheetPr>
    <tabColor theme="0"/>
    <pageSetUpPr fitToPage="1"/>
  </sheetPr>
  <dimension ref="A1:BA30"/>
  <sheetViews>
    <sheetView showGridLines="0" view="pageBreakPreview" topLeftCell="AV19" zoomScale="60" zoomScaleNormal="60" workbookViewId="0">
      <selection activeCell="AX17" sqref="AX17"/>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88671875" customWidth="1"/>
    <col min="12" max="12" width="20.109375"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18" width="57.44140625" style="1" customWidth="1"/>
    <col min="19" max="23" width="46.6640625" style="1" customWidth="1"/>
    <col min="24" max="24" width="15.88671875" style="1" customWidth="1"/>
    <col min="25" max="27" width="10.33203125" style="1" customWidth="1"/>
    <col min="28" max="28" width="6" style="1" customWidth="1"/>
    <col min="29" max="29" width="13.6640625" style="1" customWidth="1"/>
    <col min="30" max="30" width="7.5546875" style="1" customWidth="1"/>
    <col min="31" max="31" width="5.6640625" style="1" customWidth="1"/>
    <col min="32" max="32" width="40.109375"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5546875" style="4" customWidth="1"/>
    <col min="41" max="41" width="1" style="4" customWidth="1"/>
    <col min="42" max="42" width="26.88671875" style="4" customWidth="1"/>
    <col min="43" max="43" width="26.6640625" style="1" customWidth="1"/>
    <col min="44" max="44" width="20.88671875" style="1" customWidth="1"/>
    <col min="45" max="45" width="1" customWidth="1"/>
    <col min="46" max="46" width="18.33203125" customWidth="1"/>
    <col min="47" max="47" width="45" customWidth="1"/>
    <col min="48" max="48" width="32.44140625" customWidth="1"/>
    <col min="49" max="49" width="30.109375" customWidth="1"/>
    <col min="50" max="50" width="33" customWidth="1"/>
    <col min="51" max="51" width="1" customWidth="1"/>
    <col min="52" max="53" width="4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4</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399999999999999"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343</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45828</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29" t="s">
        <v>509</v>
      </c>
      <c r="E10" s="230"/>
      <c r="F10" s="230"/>
      <c r="G10" s="230"/>
      <c r="H10" s="230"/>
      <c r="I10" s="230"/>
      <c r="J10" s="230"/>
      <c r="K10" s="230"/>
      <c r="L10" s="230"/>
      <c r="M10" s="231"/>
      <c r="N10" s="21"/>
      <c r="AN10" s="1"/>
      <c r="AO10" s="1"/>
      <c r="AP10" s="1"/>
    </row>
    <row r="11" spans="1:53" s="3" customFormat="1" ht="75" customHeight="1" x14ac:dyDescent="0.3">
      <c r="A11" s="194" t="s">
        <v>11</v>
      </c>
      <c r="B11" s="194"/>
      <c r="C11" s="194"/>
      <c r="D11" s="233" t="s">
        <v>510</v>
      </c>
      <c r="E11" s="234"/>
      <c r="F11" s="234"/>
      <c r="G11" s="234"/>
      <c r="H11" s="234"/>
      <c r="I11" s="234"/>
      <c r="J11" s="234"/>
      <c r="K11" s="234"/>
      <c r="L11" s="234"/>
      <c r="M11" s="235"/>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94" t="s">
        <v>13</v>
      </c>
      <c r="B12" s="194"/>
      <c r="C12" s="194"/>
      <c r="D12" s="233" t="s">
        <v>511</v>
      </c>
      <c r="E12" s="234"/>
      <c r="F12" s="234"/>
      <c r="G12" s="234"/>
      <c r="H12" s="234"/>
      <c r="I12" s="234"/>
      <c r="J12" s="234"/>
      <c r="K12" s="234"/>
      <c r="L12" s="234"/>
      <c r="M12" s="235"/>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66" t="s">
        <v>15</v>
      </c>
      <c r="B14" s="167"/>
      <c r="C14" s="167"/>
      <c r="D14" s="167"/>
      <c r="E14" s="167"/>
      <c r="F14" s="167"/>
      <c r="G14" s="167"/>
      <c r="H14" s="167"/>
      <c r="I14" s="167"/>
      <c r="J14" s="167"/>
      <c r="K14" s="167"/>
      <c r="L14" s="167"/>
      <c r="M14" s="167"/>
      <c r="N14" s="168"/>
      <c r="O14" s="169"/>
      <c r="P14" s="2"/>
      <c r="Q14" s="174" t="s">
        <v>16</v>
      </c>
      <c r="R14" s="175"/>
      <c r="S14" s="175"/>
      <c r="T14" s="175"/>
      <c r="U14" s="175"/>
      <c r="V14" s="175"/>
      <c r="W14" s="175"/>
      <c r="X14" s="175"/>
      <c r="Y14" s="176"/>
      <c r="Z14" s="176"/>
      <c r="AA14" s="176"/>
      <c r="AB14" s="176"/>
      <c r="AC14" s="176"/>
      <c r="AD14" s="176"/>
      <c r="AE14" s="176"/>
      <c r="AF14" s="175"/>
      <c r="AG14" s="175"/>
      <c r="AH14" s="175"/>
      <c r="AI14" s="175"/>
      <c r="AJ14" s="175"/>
      <c r="AK14" s="175"/>
      <c r="AL14" s="175"/>
      <c r="AM14" s="175"/>
      <c r="AN14" s="177"/>
      <c r="AO14" s="2"/>
      <c r="AP14" s="178" t="s">
        <v>17</v>
      </c>
      <c r="AQ14" s="179"/>
      <c r="AR14" s="180"/>
      <c r="AT14" s="184" t="s">
        <v>18</v>
      </c>
      <c r="AU14" s="185"/>
      <c r="AV14" s="185"/>
      <c r="AW14" s="185"/>
      <c r="AX14" s="186"/>
      <c r="AY14" s="27"/>
      <c r="AZ14" s="178" t="s">
        <v>19</v>
      </c>
      <c r="BA14" s="180"/>
    </row>
    <row r="15" spans="1:53" x14ac:dyDescent="0.3">
      <c r="A15" s="170"/>
      <c r="B15" s="171"/>
      <c r="C15" s="171"/>
      <c r="D15" s="171"/>
      <c r="E15" s="171"/>
      <c r="F15" s="171"/>
      <c r="G15" s="171"/>
      <c r="H15" s="171"/>
      <c r="I15" s="171"/>
      <c r="J15" s="171"/>
      <c r="K15" s="171"/>
      <c r="L15" s="171"/>
      <c r="M15" s="171"/>
      <c r="N15" s="172"/>
      <c r="O15" s="173"/>
      <c r="P15" s="2"/>
      <c r="Q15" s="23"/>
      <c r="R15" s="24"/>
      <c r="S15" s="24"/>
      <c r="T15" s="24"/>
      <c r="U15" s="24"/>
      <c r="V15" s="24"/>
      <c r="W15" s="24"/>
      <c r="X15" s="24"/>
      <c r="Y15" s="189" t="s">
        <v>20</v>
      </c>
      <c r="Z15" s="190"/>
      <c r="AA15" s="191"/>
      <c r="AB15" s="189" t="s">
        <v>21</v>
      </c>
      <c r="AC15" s="190"/>
      <c r="AD15" s="190"/>
      <c r="AE15" s="190"/>
      <c r="AF15" s="191"/>
      <c r="AG15" s="192"/>
      <c r="AH15" s="192"/>
      <c r="AI15" s="192"/>
      <c r="AJ15" s="192"/>
      <c r="AK15" s="192"/>
      <c r="AL15" s="192"/>
      <c r="AM15" s="192"/>
      <c r="AN15" s="193"/>
      <c r="AO15" s="2"/>
      <c r="AP15" s="181"/>
      <c r="AQ15" s="182"/>
      <c r="AR15" s="183"/>
      <c r="AT15" s="187"/>
      <c r="AU15" s="182"/>
      <c r="AV15" s="182"/>
      <c r="AW15" s="182"/>
      <c r="AX15" s="188"/>
      <c r="AY15" s="27"/>
      <c r="AZ15" s="181"/>
      <c r="BA15" s="183"/>
    </row>
    <row r="16" spans="1:53" s="5" customFormat="1" ht="124.5" customHeight="1" x14ac:dyDescent="0.3">
      <c r="A16" s="9" t="s">
        <v>22</v>
      </c>
      <c r="B16" s="10" t="s">
        <v>23</v>
      </c>
      <c r="C16" s="11" t="s">
        <v>24</v>
      </c>
      <c r="D16" s="11" t="s">
        <v>25</v>
      </c>
      <c r="E16" s="12" t="s">
        <v>26</v>
      </c>
      <c r="F16" s="19" t="s">
        <v>27</v>
      </c>
      <c r="G16" s="29" t="s">
        <v>28</v>
      </c>
      <c r="H16" s="12" t="s">
        <v>29</v>
      </c>
      <c r="I16" s="11" t="s">
        <v>30</v>
      </c>
      <c r="J16" s="11" t="s">
        <v>31</v>
      </c>
      <c r="K16" s="12" t="s">
        <v>32</v>
      </c>
      <c r="L16" s="12" t="s">
        <v>33</v>
      </c>
      <c r="M16" s="11" t="s">
        <v>30</v>
      </c>
      <c r="N16" s="11" t="s">
        <v>34</v>
      </c>
      <c r="O16" s="13" t="s">
        <v>35</v>
      </c>
      <c r="P16" s="2"/>
      <c r="Q16" s="14" t="s">
        <v>36</v>
      </c>
      <c r="R16" s="95" t="s">
        <v>37</v>
      </c>
      <c r="S16" s="95" t="s">
        <v>38</v>
      </c>
      <c r="T16" s="95" t="s">
        <v>39</v>
      </c>
      <c r="U16" s="95" t="s">
        <v>40</v>
      </c>
      <c r="V16" s="95" t="s">
        <v>41</v>
      </c>
      <c r="W16" s="95" t="s">
        <v>42</v>
      </c>
      <c r="X16" s="25" t="s">
        <v>43</v>
      </c>
      <c r="Y16" s="44" t="s">
        <v>44</v>
      </c>
      <c r="Z16" s="44" t="s">
        <v>45</v>
      </c>
      <c r="AA16" s="16" t="s">
        <v>46</v>
      </c>
      <c r="AB16" s="161" t="s">
        <v>47</v>
      </c>
      <c r="AC16" s="162"/>
      <c r="AD16" s="16" t="s">
        <v>48</v>
      </c>
      <c r="AE16" s="161" t="s">
        <v>49</v>
      </c>
      <c r="AF16" s="162"/>
      <c r="AG16" s="17" t="s">
        <v>50</v>
      </c>
      <c r="AH16" s="17" t="s">
        <v>51</v>
      </c>
      <c r="AI16" s="17" t="s">
        <v>30</v>
      </c>
      <c r="AJ16" s="17" t="s">
        <v>52</v>
      </c>
      <c r="AK16" s="17" t="s">
        <v>30</v>
      </c>
      <c r="AL16" s="17" t="s">
        <v>34</v>
      </c>
      <c r="AM16" s="17" t="s">
        <v>53</v>
      </c>
      <c r="AN16" s="13" t="s">
        <v>54</v>
      </c>
      <c r="AO16" s="2"/>
      <c r="AP16" s="18" t="s">
        <v>55</v>
      </c>
      <c r="AQ16" s="15" t="s">
        <v>56</v>
      </c>
      <c r="AR16" s="26" t="s">
        <v>57</v>
      </c>
      <c r="AT16" s="40" t="s">
        <v>58</v>
      </c>
      <c r="AU16" s="42" t="s">
        <v>59</v>
      </c>
      <c r="AV16" s="42" t="s">
        <v>60</v>
      </c>
      <c r="AW16" s="42" t="s">
        <v>61</v>
      </c>
      <c r="AX16" s="41" t="s">
        <v>62</v>
      </c>
      <c r="AY16" s="28"/>
      <c r="AZ16" s="43" t="s">
        <v>63</v>
      </c>
      <c r="BA16" s="96" t="s">
        <v>64</v>
      </c>
    </row>
    <row r="17" spans="1:53" ht="353.25" customHeight="1" x14ac:dyDescent="0.3">
      <c r="A17" s="163">
        <v>2</v>
      </c>
      <c r="B17" s="237" t="s">
        <v>65</v>
      </c>
      <c r="C17" s="165" t="s">
        <v>512</v>
      </c>
      <c r="D17" s="165" t="s">
        <v>566</v>
      </c>
      <c r="E17" s="165" t="s">
        <v>567</v>
      </c>
      <c r="F17" s="165"/>
      <c r="G17" s="280">
        <v>102</v>
      </c>
      <c r="H17" s="160" t="str">
        <f>IF(G17&lt;=0,"",IF(G17&lt;=2,"Muy Baja",IF(G17&lt;=24,"Baja",IF(G17&lt;=500,"Media",IF(G17&lt;=5000,"Alta","Muy Alta")))))</f>
        <v>Media</v>
      </c>
      <c r="I17" s="157">
        <f>IF(H17="","",IF(H17="Muy Baja",0.2,IF(H17="Baja",0.4,IF(H17="Media",0.6,IF(H17="Alta",0.8,IF(H17="Muy Alta",1,))))))</f>
        <v>0.6</v>
      </c>
      <c r="J17" s="238" t="s">
        <v>69</v>
      </c>
      <c r="K17" s="239" t="str">
        <f>+J17</f>
        <v>El riesgo afecta la imagen de algún área de la organización.</v>
      </c>
      <c r="L17" s="160" t="str">
        <f>+VLOOKUP(K17,[5]Datos!$O$4:$P$15,2,FALSE)</f>
        <v>Leve</v>
      </c>
      <c r="M17" s="157">
        <f>IF(L17="","",IF(L17="Leve",0.2,IF(L17="Menor",0.4,IF(L17="Moderado",0.6,IF(L17="Mayor",0.8,IF(L17="Catastrófico",1,))))))</f>
        <v>0.2</v>
      </c>
      <c r="N17" s="157" t="str">
        <f>+CONCATENATE(H17, " - ", L17)</f>
        <v>Media - Leve</v>
      </c>
      <c r="O17" s="240" t="str">
        <f>+VLOOKUP(N17,[5]Datos!J4:K28,2,)</f>
        <v>MODERADO</v>
      </c>
      <c r="P17" s="99"/>
      <c r="Q17" s="241">
        <v>1</v>
      </c>
      <c r="R17" s="127" t="s">
        <v>568</v>
      </c>
      <c r="S17" s="127" t="s">
        <v>569</v>
      </c>
      <c r="T17" s="127" t="s">
        <v>570</v>
      </c>
      <c r="U17" s="127" t="s">
        <v>571</v>
      </c>
      <c r="V17" s="127" t="s">
        <v>572</v>
      </c>
      <c r="W17" s="127" t="s">
        <v>573</v>
      </c>
      <c r="X17" s="30" t="str">
        <f>IF(OR(Y17="Preventivo",Y17="Detectivo"),"Probabilidad",IF(Y17="Correctivo","Impacto",""))</f>
        <v>Probabilidad</v>
      </c>
      <c r="Y17" s="6" t="s">
        <v>98</v>
      </c>
      <c r="Z17" s="6" t="s">
        <v>77</v>
      </c>
      <c r="AA17" s="31" t="str">
        <f t="shared" ref="AA17:AA20" si="0">IF(AND(Y17="Preventivo",Z17="Automático"),"50%",IF(AND(Y17="Preventivo",Z17="Manual"),"40%",IF(AND(Y17="Detectivo",Z17="Automático"),"40%",IF(AND(Y17="Detectivo",Z17="Manual"),"30%",IF(AND(Y17="Correctivo",Z17="Automático"),"35%",IF(AND(Y17="Correctivo",Z17="Manual"),"25%",""))))))</f>
        <v>30%</v>
      </c>
      <c r="AB17" s="242" t="s">
        <v>78</v>
      </c>
      <c r="AC17" s="242" t="s">
        <v>574</v>
      </c>
      <c r="AD17" s="6" t="s">
        <v>99</v>
      </c>
      <c r="AE17" s="8" t="s">
        <v>81</v>
      </c>
      <c r="AF17" s="8" t="str">
        <f>+W17</f>
        <v xml:space="preserve">Informe de toma física </v>
      </c>
      <c r="AG17" s="32">
        <f>IFERROR(IF(X17="Probabilidad",(I17-(+I17*AA17)),IF(X17="Impacto",I17,"")),"")</f>
        <v>0.42</v>
      </c>
      <c r="AH17" s="33" t="str">
        <f t="shared" ref="AH17:AH20" si="1">IFERROR(IF(AG17="","",IF(AG17&lt;=0.2,"Muy Baja",IF(AG17&lt;=0.4,"Baja",IF(AG17&lt;=0.6,"Media",IF(AG17&lt;=0.8,"Alta","Muy Alta"))))),"")</f>
        <v>Media</v>
      </c>
      <c r="AI17" s="34">
        <f>I17-(AA17*I17)</f>
        <v>0.42</v>
      </c>
      <c r="AJ17" s="35" t="str">
        <f t="shared" ref="AJ17:AJ20" si="2">IFERROR(IF(AK17="","",IF(AK17&lt;=0.2,"Leve",IF(AK17&lt;=0.4,"Menor",IF(AK17&lt;=0.6,"Moderado",IF(AK17&lt;=0.8,"Mayor","Catastrófico"))))),"")</f>
        <v>Leve</v>
      </c>
      <c r="AK17" s="32">
        <f>IFERROR(IF(X17="Impacto",(M17-(+M17*AA17)),IF(X17="Probabilidad",M17,"")),"")</f>
        <v>0.2</v>
      </c>
      <c r="AL17" s="36" t="str">
        <f>+CONCATENATE(AH17, " - ", AJ17)</f>
        <v>Media - Leve</v>
      </c>
      <c r="AM17" s="37" t="str">
        <f>+VLOOKUP(AL17,[5]Datos!$J$4:$K$28,2,)</f>
        <v>MODERADO</v>
      </c>
      <c r="AN17" s="154" t="s">
        <v>82</v>
      </c>
      <c r="AO17" s="99"/>
      <c r="AP17" s="243" t="s">
        <v>138</v>
      </c>
      <c r="AQ17" s="244"/>
      <c r="AR17" s="245"/>
      <c r="AS17" s="102"/>
      <c r="AT17" s="459">
        <v>46153</v>
      </c>
      <c r="AU17" s="460" t="s">
        <v>575</v>
      </c>
      <c r="AV17" s="461" t="s">
        <v>576</v>
      </c>
      <c r="AW17" s="462" t="s">
        <v>577</v>
      </c>
      <c r="AX17" s="129" t="s">
        <v>578</v>
      </c>
      <c r="AY17" s="104"/>
      <c r="AZ17" s="463" t="s">
        <v>579</v>
      </c>
      <c r="BA17" s="464" t="s">
        <v>580</v>
      </c>
    </row>
    <row r="18" spans="1:53" ht="249.75" customHeight="1" x14ac:dyDescent="0.3">
      <c r="A18" s="163"/>
      <c r="B18" s="237"/>
      <c r="C18" s="165"/>
      <c r="D18" s="165"/>
      <c r="E18" s="165"/>
      <c r="F18" s="165"/>
      <c r="G18" s="280"/>
      <c r="H18" s="160"/>
      <c r="I18" s="157"/>
      <c r="J18" s="238"/>
      <c r="K18" s="239"/>
      <c r="L18" s="160"/>
      <c r="M18" s="157"/>
      <c r="N18" s="157"/>
      <c r="O18" s="240"/>
      <c r="P18" s="99"/>
      <c r="Q18" s="241">
        <v>2</v>
      </c>
      <c r="R18" s="127" t="s">
        <v>581</v>
      </c>
      <c r="S18" s="127" t="s">
        <v>582</v>
      </c>
      <c r="T18" s="127" t="s">
        <v>583</v>
      </c>
      <c r="U18" s="127" t="s">
        <v>584</v>
      </c>
      <c r="V18" s="127" t="s">
        <v>585</v>
      </c>
      <c r="W18" s="127" t="s">
        <v>586</v>
      </c>
      <c r="X18" s="30" t="str">
        <f t="shared" ref="X18:X20" si="3">IF(OR(Y18="Preventivo",Y18="Detectivo"),"Probabilidad",IF(Y18="Correctivo","Impacto",""))</f>
        <v>Probabilidad</v>
      </c>
      <c r="Y18" s="6" t="s">
        <v>98</v>
      </c>
      <c r="Z18" s="6" t="s">
        <v>77</v>
      </c>
      <c r="AA18" s="31" t="str">
        <f t="shared" si="0"/>
        <v>30%</v>
      </c>
      <c r="AB18" s="242" t="s">
        <v>78</v>
      </c>
      <c r="AC18" s="242" t="s">
        <v>574</v>
      </c>
      <c r="AD18" s="6" t="s">
        <v>99</v>
      </c>
      <c r="AE18" s="8" t="s">
        <v>81</v>
      </c>
      <c r="AF18" s="8" t="str">
        <f>+W18</f>
        <v xml:space="preserve">Acta de toma física </v>
      </c>
      <c r="AG18" s="34">
        <f t="shared" ref="AG18:AG20" si="4">IFERROR(IF(AND(X17="Probabilidad",X18="Probabilidad"),(AI17-(+AI17*AA18)),IF(X18="Probabilidad",($I$17-(+$I$17*AA18)),IF(X18="Impacto",AI17,""))),"")</f>
        <v>0.29399999999999998</v>
      </c>
      <c r="AH18" s="33" t="str">
        <f t="shared" si="1"/>
        <v>Baja</v>
      </c>
      <c r="AI18" s="34">
        <f t="shared" ref="AI18:AI20" si="5">+AG18</f>
        <v>0.29399999999999998</v>
      </c>
      <c r="AJ18" s="35" t="str">
        <f t="shared" si="2"/>
        <v>Leve</v>
      </c>
      <c r="AK18" s="32">
        <f t="shared" ref="AK18:AK20" si="6">IFERROR(IF(AND(X17="Impacto",X17="Impacto"),(AK17-(+AK17*AA18)),IF(X18="Impacto",($M$17-(+$M$17*AA18)),IF(X18="Probabilidad",AK17,""))),"")</f>
        <v>0.2</v>
      </c>
      <c r="AL18" s="36" t="str">
        <f t="shared" ref="AL18:AL20" si="7">+CONCATENATE(AH18, " - ", AJ18)</f>
        <v>Baja - Leve</v>
      </c>
      <c r="AM18" s="37" t="str">
        <f>+VLOOKUP(AL18,[5]Datos!$J$4:$K$28,2,)</f>
        <v>BAJO</v>
      </c>
      <c r="AN18" s="154"/>
      <c r="AO18" s="99"/>
      <c r="AP18" s="243"/>
      <c r="AQ18" s="244"/>
      <c r="AR18" s="245"/>
      <c r="AS18" s="102"/>
      <c r="AT18" s="459">
        <v>46153</v>
      </c>
      <c r="AU18" s="460" t="s">
        <v>587</v>
      </c>
      <c r="AV18" s="465" t="s">
        <v>588</v>
      </c>
      <c r="AW18" s="466" t="s">
        <v>577</v>
      </c>
      <c r="AX18" s="129" t="s">
        <v>589</v>
      </c>
      <c r="AY18" s="104"/>
      <c r="AZ18" s="467"/>
      <c r="BA18" s="464"/>
    </row>
    <row r="19" spans="1:53" ht="409.5" customHeight="1" x14ac:dyDescent="0.3">
      <c r="A19" s="163"/>
      <c r="B19" s="237"/>
      <c r="C19" s="165"/>
      <c r="D19" s="165"/>
      <c r="E19" s="165"/>
      <c r="F19" s="165"/>
      <c r="G19" s="280"/>
      <c r="H19" s="160"/>
      <c r="I19" s="157"/>
      <c r="J19" s="238"/>
      <c r="K19" s="239"/>
      <c r="L19" s="160"/>
      <c r="M19" s="157"/>
      <c r="N19" s="157"/>
      <c r="O19" s="240"/>
      <c r="P19" s="99"/>
      <c r="Q19" s="241">
        <v>3</v>
      </c>
      <c r="R19" s="127" t="s">
        <v>590</v>
      </c>
      <c r="S19" s="253" t="s">
        <v>591</v>
      </c>
      <c r="T19" s="254" t="s">
        <v>592</v>
      </c>
      <c r="U19" s="127" t="s">
        <v>593</v>
      </c>
      <c r="V19" s="127" t="s">
        <v>594</v>
      </c>
      <c r="W19" s="127" t="s">
        <v>595</v>
      </c>
      <c r="X19" s="30" t="str">
        <f t="shared" si="3"/>
        <v>Probabilidad</v>
      </c>
      <c r="Y19" s="6" t="s">
        <v>98</v>
      </c>
      <c r="Z19" s="6" t="s">
        <v>77</v>
      </c>
      <c r="AA19" s="31" t="str">
        <f t="shared" si="0"/>
        <v>30%</v>
      </c>
      <c r="AB19" s="242" t="s">
        <v>78</v>
      </c>
      <c r="AC19" s="242" t="s">
        <v>596</v>
      </c>
      <c r="AD19" s="6" t="s">
        <v>99</v>
      </c>
      <c r="AE19" s="8" t="s">
        <v>81</v>
      </c>
      <c r="AF19" s="8" t="str">
        <f t="shared" ref="AF19:AF20" si="8">+W19</f>
        <v>Formato de traslado generado por el aplicativo sistematizado</v>
      </c>
      <c r="AG19" s="32">
        <f t="shared" si="4"/>
        <v>0.20579999999999998</v>
      </c>
      <c r="AH19" s="33" t="str">
        <f t="shared" si="1"/>
        <v>Baja</v>
      </c>
      <c r="AI19" s="34">
        <f t="shared" si="5"/>
        <v>0.20579999999999998</v>
      </c>
      <c r="AJ19" s="35" t="str">
        <f t="shared" si="2"/>
        <v>Leve</v>
      </c>
      <c r="AK19" s="32">
        <f t="shared" si="6"/>
        <v>0.2</v>
      </c>
      <c r="AL19" s="36" t="str">
        <f t="shared" si="7"/>
        <v>Baja - Leve</v>
      </c>
      <c r="AM19" s="37" t="str">
        <f>+VLOOKUP(AL19,[5]Datos!$J$4:$K$28,2,)</f>
        <v>BAJO</v>
      </c>
      <c r="AN19" s="154"/>
      <c r="AO19" s="99"/>
      <c r="AP19" s="243"/>
      <c r="AQ19" s="244"/>
      <c r="AR19" s="245"/>
      <c r="AS19" s="102"/>
      <c r="AT19" s="459">
        <v>46153</v>
      </c>
      <c r="AU19" s="468" t="s">
        <v>597</v>
      </c>
      <c r="AV19" s="465" t="s">
        <v>598</v>
      </c>
      <c r="AW19" s="466" t="s">
        <v>577</v>
      </c>
      <c r="AX19" s="129" t="s">
        <v>599</v>
      </c>
      <c r="AY19" s="104"/>
      <c r="AZ19" s="467"/>
      <c r="BA19" s="464"/>
    </row>
    <row r="20" spans="1:53" ht="353.25" customHeight="1" x14ac:dyDescent="0.3">
      <c r="A20" s="163"/>
      <c r="B20" s="237"/>
      <c r="C20" s="165"/>
      <c r="D20" s="165"/>
      <c r="E20" s="165"/>
      <c r="F20" s="165"/>
      <c r="G20" s="280"/>
      <c r="H20" s="160"/>
      <c r="I20" s="157"/>
      <c r="J20" s="238"/>
      <c r="K20" s="239"/>
      <c r="L20" s="160"/>
      <c r="M20" s="157"/>
      <c r="N20" s="157"/>
      <c r="O20" s="240"/>
      <c r="P20" s="99"/>
      <c r="Q20" s="241">
        <v>4</v>
      </c>
      <c r="R20" s="127" t="s">
        <v>600</v>
      </c>
      <c r="S20" s="253" t="s">
        <v>601</v>
      </c>
      <c r="T20" s="254" t="s">
        <v>602</v>
      </c>
      <c r="U20" s="127" t="s">
        <v>603</v>
      </c>
      <c r="V20" s="127" t="s">
        <v>604</v>
      </c>
      <c r="W20" s="127" t="s">
        <v>605</v>
      </c>
      <c r="X20" s="30" t="str">
        <f t="shared" si="3"/>
        <v>Impacto</v>
      </c>
      <c r="Y20" s="6" t="s">
        <v>151</v>
      </c>
      <c r="Z20" s="6" t="s">
        <v>77</v>
      </c>
      <c r="AA20" s="31" t="str">
        <f t="shared" si="0"/>
        <v>25%</v>
      </c>
      <c r="AB20" s="8" t="s">
        <v>78</v>
      </c>
      <c r="AC20" s="242" t="s">
        <v>606</v>
      </c>
      <c r="AD20" s="6" t="s">
        <v>99</v>
      </c>
      <c r="AE20" s="8" t="s">
        <v>81</v>
      </c>
      <c r="AF20" s="8" t="str">
        <f t="shared" si="8"/>
        <v>Acta de toma física</v>
      </c>
      <c r="AG20" s="32">
        <f t="shared" si="4"/>
        <v>0.20579999999999998</v>
      </c>
      <c r="AH20" s="33" t="str">
        <f t="shared" si="1"/>
        <v>Baja</v>
      </c>
      <c r="AI20" s="34">
        <f t="shared" si="5"/>
        <v>0.20579999999999998</v>
      </c>
      <c r="AJ20" s="35" t="str">
        <f t="shared" si="2"/>
        <v>Leve</v>
      </c>
      <c r="AK20" s="32">
        <f t="shared" si="6"/>
        <v>0.15000000000000002</v>
      </c>
      <c r="AL20" s="36" t="str">
        <f t="shared" si="7"/>
        <v>Baja - Leve</v>
      </c>
      <c r="AM20" s="37" t="str">
        <f>+VLOOKUP(AL20,[5]Datos!$J$4:$K$28,2,)</f>
        <v>BAJO</v>
      </c>
      <c r="AN20" s="154"/>
      <c r="AO20" s="99"/>
      <c r="AP20" s="243"/>
      <c r="AQ20" s="244"/>
      <c r="AR20" s="245"/>
      <c r="AS20" s="102"/>
      <c r="AT20" s="459">
        <v>46153</v>
      </c>
      <c r="AU20" s="460" t="s">
        <v>607</v>
      </c>
      <c r="AV20" s="469" t="s">
        <v>608</v>
      </c>
      <c r="AW20" s="470" t="s">
        <v>577</v>
      </c>
      <c r="AX20" s="129" t="s">
        <v>609</v>
      </c>
      <c r="AY20" s="104"/>
      <c r="AZ20" s="471"/>
      <c r="BA20" s="464"/>
    </row>
    <row r="21" spans="1:53" ht="93.75" customHeight="1" x14ac:dyDescent="0.3">
      <c r="B21" s="76"/>
      <c r="C21" s="77"/>
      <c r="D21" s="77"/>
      <c r="E21" s="77"/>
      <c r="F21" s="77"/>
      <c r="G21" s="76"/>
      <c r="H21" s="76"/>
      <c r="I21" s="78"/>
      <c r="J21" s="79"/>
      <c r="K21" s="80"/>
      <c r="L21" s="76"/>
      <c r="M21" s="78"/>
      <c r="N21" s="78"/>
      <c r="O21" s="81"/>
      <c r="P21" s="2"/>
      <c r="Q21" s="82"/>
      <c r="R21" s="22"/>
      <c r="S21" s="22"/>
      <c r="T21" s="22"/>
      <c r="U21" s="22"/>
      <c r="V21" s="22"/>
      <c r="W21" s="22"/>
      <c r="X21" s="82"/>
      <c r="Y21" s="83"/>
      <c r="Z21" s="83"/>
      <c r="AA21" s="84"/>
      <c r="AB21" s="85"/>
      <c r="AC21" s="86"/>
      <c r="AD21" s="83"/>
      <c r="AE21" s="85"/>
      <c r="AF21" s="85"/>
      <c r="AG21" s="87"/>
      <c r="AH21" s="83"/>
      <c r="AI21" s="88"/>
      <c r="AJ21" s="89"/>
      <c r="AK21" s="87"/>
      <c r="AL21" s="90"/>
      <c r="AM21" s="91"/>
      <c r="AN21" s="92"/>
      <c r="AO21" s="2"/>
      <c r="AP21" s="74"/>
      <c r="AQ21" s="74"/>
      <c r="AR21" s="74"/>
      <c r="AT21" s="45"/>
      <c r="AU21" s="46"/>
      <c r="AV21" s="47"/>
      <c r="AW21" s="48"/>
      <c r="AX21" s="49"/>
      <c r="AY21" s="27"/>
      <c r="AZ21" s="47"/>
      <c r="BA21" s="50"/>
    </row>
    <row r="22" spans="1:53" ht="20.399999999999999" x14ac:dyDescent="0.3">
      <c r="A22" s="152" t="s">
        <v>103</v>
      </c>
      <c r="B22" s="152"/>
      <c r="C22" s="152"/>
      <c r="D22" s="152"/>
      <c r="E22" s="152"/>
      <c r="F22" s="152"/>
      <c r="G22" s="152"/>
      <c r="H22" s="152"/>
      <c r="P22" s="2"/>
      <c r="BA22" s="39" t="s">
        <v>104</v>
      </c>
    </row>
    <row r="23" spans="1:53" x14ac:dyDescent="0.3">
      <c r="P23" s="2"/>
    </row>
    <row r="24" spans="1:53" s="1" customFormat="1" x14ac:dyDescent="0.3">
      <c r="A24"/>
      <c r="B24"/>
      <c r="C24"/>
      <c r="D24"/>
      <c r="E24"/>
      <c r="F24"/>
      <c r="G24"/>
      <c r="H24"/>
      <c r="I24"/>
      <c r="J24"/>
      <c r="K24"/>
      <c r="P24" s="2"/>
      <c r="AN24" s="4"/>
      <c r="AO24" s="4"/>
      <c r="AP24" s="4"/>
      <c r="AS24"/>
      <c r="AT24"/>
      <c r="AU24"/>
      <c r="AV24"/>
      <c r="AW24"/>
      <c r="AX24"/>
      <c r="AY24"/>
      <c r="AZ24"/>
      <c r="BA24"/>
    </row>
    <row r="25" spans="1:53" s="1" customFormat="1" x14ac:dyDescent="0.3">
      <c r="A25"/>
      <c r="B25"/>
      <c r="C25"/>
      <c r="D25"/>
      <c r="E25"/>
      <c r="F25"/>
      <c r="G25"/>
      <c r="H25"/>
      <c r="I25"/>
      <c r="J25"/>
      <c r="K25"/>
      <c r="P25" s="2"/>
      <c r="AN25" s="4"/>
      <c r="AO25" s="4"/>
      <c r="AP25" s="4"/>
      <c r="AS25"/>
      <c r="AT25"/>
      <c r="AU25"/>
      <c r="AV25"/>
      <c r="AW25"/>
      <c r="AX25"/>
      <c r="AY25"/>
      <c r="AZ25"/>
      <c r="BA25"/>
    </row>
    <row r="26" spans="1:53" s="1" customFormat="1" x14ac:dyDescent="0.3">
      <c r="A26"/>
      <c r="B26"/>
      <c r="C26"/>
      <c r="D26"/>
      <c r="E26"/>
      <c r="F26"/>
      <c r="G26"/>
      <c r="H26"/>
      <c r="I26"/>
      <c r="J26"/>
      <c r="K26"/>
      <c r="P26" s="2"/>
      <c r="AN26" s="4"/>
      <c r="AO26" s="4"/>
      <c r="AP26" s="4"/>
      <c r="AS26"/>
      <c r="AT26"/>
      <c r="AU26"/>
      <c r="AV26"/>
      <c r="AW26"/>
      <c r="AX26"/>
      <c r="AY26"/>
      <c r="AZ26"/>
      <c r="BA26"/>
    </row>
    <row r="27" spans="1:53" s="1" customFormat="1" x14ac:dyDescent="0.3">
      <c r="A27"/>
      <c r="B27"/>
      <c r="C27"/>
      <c r="D27"/>
      <c r="E27"/>
      <c r="F27"/>
      <c r="G27"/>
      <c r="H27"/>
      <c r="I27"/>
      <c r="J27"/>
      <c r="K27"/>
      <c r="P27" s="2"/>
      <c r="AN27" s="4"/>
      <c r="AO27" s="4"/>
      <c r="AP27" s="4"/>
      <c r="AS27"/>
      <c r="AT27"/>
      <c r="AU27"/>
      <c r="AV27"/>
      <c r="AW27"/>
      <c r="AX27"/>
      <c r="AY27"/>
      <c r="AZ27"/>
      <c r="BA27"/>
    </row>
    <row r="28" spans="1:53" s="1" customFormat="1" x14ac:dyDescent="0.3">
      <c r="A28"/>
      <c r="B28"/>
      <c r="C28"/>
      <c r="D28"/>
      <c r="E28"/>
      <c r="F28"/>
      <c r="G28"/>
      <c r="H28"/>
      <c r="I28"/>
      <c r="J28"/>
      <c r="K28"/>
      <c r="P28" s="2"/>
      <c r="AN28" s="4"/>
      <c r="AO28" s="4"/>
      <c r="AP28" s="4"/>
      <c r="AS28"/>
      <c r="AT28"/>
      <c r="AU28"/>
      <c r="AV28"/>
      <c r="AW28"/>
      <c r="AX28"/>
      <c r="AY28"/>
      <c r="AZ28"/>
      <c r="BA28"/>
    </row>
    <row r="29" spans="1:53" s="1" customFormat="1" x14ac:dyDescent="0.3">
      <c r="A29"/>
      <c r="B29"/>
      <c r="C29"/>
      <c r="D29"/>
      <c r="E29"/>
      <c r="F29"/>
      <c r="G29"/>
      <c r="H29"/>
      <c r="I29"/>
      <c r="J29"/>
      <c r="K29"/>
      <c r="P29" s="2"/>
      <c r="AN29" s="4"/>
      <c r="AO29" s="4"/>
      <c r="AP29" s="4"/>
      <c r="AS29"/>
      <c r="AT29"/>
      <c r="AU29"/>
      <c r="AV29"/>
      <c r="AW29"/>
      <c r="AX29"/>
      <c r="AY29"/>
      <c r="AZ29"/>
      <c r="BA29"/>
    </row>
    <row r="30" spans="1:53" s="1" customFormat="1" x14ac:dyDescent="0.3">
      <c r="A30"/>
      <c r="B30"/>
      <c r="C30"/>
      <c r="D30"/>
      <c r="E30"/>
      <c r="F30"/>
      <c r="G30"/>
      <c r="H30"/>
      <c r="I30"/>
      <c r="J30"/>
      <c r="K30"/>
      <c r="P30" s="2"/>
      <c r="AN30" s="4"/>
      <c r="AO30" s="4"/>
      <c r="AP30" s="4"/>
      <c r="AS30"/>
      <c r="AT30"/>
      <c r="AU30"/>
      <c r="AV30"/>
      <c r="AW30"/>
      <c r="AX30"/>
      <c r="AY30"/>
      <c r="AZ30"/>
      <c r="BA30"/>
    </row>
  </sheetData>
  <mergeCells count="49">
    <mergeCell ref="BA17:BA20"/>
    <mergeCell ref="A22:H22"/>
    <mergeCell ref="O17:O20"/>
    <mergeCell ref="AN17:AN20"/>
    <mergeCell ref="AP17:AP20"/>
    <mergeCell ref="AQ17:AQ20"/>
    <mergeCell ref="AR17:AR20"/>
    <mergeCell ref="AZ17:AZ20"/>
    <mergeCell ref="I17:I20"/>
    <mergeCell ref="J17:J20"/>
    <mergeCell ref="K17:K20"/>
    <mergeCell ref="L17:L20"/>
    <mergeCell ref="M17:M20"/>
    <mergeCell ref="N17:N20"/>
    <mergeCell ref="AB16:AC16"/>
    <mergeCell ref="AE16:AF16"/>
    <mergeCell ref="A17:A20"/>
    <mergeCell ref="B17:B20"/>
    <mergeCell ref="C17:C20"/>
    <mergeCell ref="D17:D20"/>
    <mergeCell ref="E17:E20"/>
    <mergeCell ref="F17:F20"/>
    <mergeCell ref="G17:G20"/>
    <mergeCell ref="H17:H20"/>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21">
    <cfRule type="cellIs" dxfId="171" priority="20" operator="equal">
      <formula>"Muy Alta"</formula>
    </cfRule>
    <cfRule type="cellIs" dxfId="170" priority="21" operator="equal">
      <formula>"Alta"</formula>
    </cfRule>
    <cfRule type="cellIs" dxfId="169" priority="22" operator="equal">
      <formula>"Media"</formula>
    </cfRule>
    <cfRule type="cellIs" dxfId="168" priority="23" operator="equal">
      <formula>"Muy Baja"</formula>
    </cfRule>
    <cfRule type="cellIs" dxfId="167" priority="24" operator="equal">
      <formula>"Baja"</formula>
    </cfRule>
  </conditionalFormatting>
  <conditionalFormatting sqref="L17:L21">
    <cfRule type="cellIs" dxfId="166" priority="15" operator="equal">
      <formula>"Leve"</formula>
    </cfRule>
    <cfRule type="cellIs" dxfId="165" priority="16" operator="equal">
      <formula>"Catastrófico"</formula>
    </cfRule>
    <cfRule type="cellIs" dxfId="164" priority="17" operator="equal">
      <formula>"Mayor"</formula>
    </cfRule>
    <cfRule type="cellIs" dxfId="163" priority="18" operator="equal">
      <formula>"Moderado"</formula>
    </cfRule>
    <cfRule type="cellIs" dxfId="162" priority="19" operator="equal">
      <formula>"Menor"</formula>
    </cfRule>
  </conditionalFormatting>
  <conditionalFormatting sqref="O17:O21 AM17:AM21">
    <cfRule type="cellIs" dxfId="161" priority="11" operator="equal">
      <formula>"EXTREMO"</formula>
    </cfRule>
    <cfRule type="cellIs" dxfId="160" priority="12" operator="equal">
      <formula>"ALTO"</formula>
    </cfRule>
    <cfRule type="cellIs" dxfId="159" priority="13" operator="equal">
      <formula>"BAJO"</formula>
    </cfRule>
    <cfRule type="cellIs" dxfId="158" priority="14" operator="equal">
      <formula>"MODERADO"</formula>
    </cfRule>
  </conditionalFormatting>
  <conditionalFormatting sqref="AH17:AH21">
    <cfRule type="cellIs" dxfId="157" priority="6" operator="equal">
      <formula>"Muy Baja"</formula>
    </cfRule>
    <cfRule type="cellIs" dxfId="156" priority="7" operator="equal">
      <formula>"Baja"</formula>
    </cfRule>
    <cfRule type="cellIs" dxfId="155" priority="8" operator="equal">
      <formula>"Media"</formula>
    </cfRule>
    <cfRule type="cellIs" dxfId="154" priority="9" operator="equal">
      <formula>"Muy Alta"</formula>
    </cfRule>
    <cfRule type="cellIs" dxfId="153" priority="10" operator="equal">
      <formula>"Alta"</formula>
    </cfRule>
  </conditionalFormatting>
  <conditionalFormatting sqref="AJ17:AJ21">
    <cfRule type="cellIs" dxfId="152" priority="1" operator="equal">
      <formula>"Catastrófico"</formula>
    </cfRule>
    <cfRule type="cellIs" dxfId="151" priority="2" operator="equal">
      <formula>"Mayor"</formula>
    </cfRule>
    <cfRule type="cellIs" dxfId="150" priority="3" operator="equal">
      <formula>"Moderado"</formula>
    </cfRule>
    <cfRule type="cellIs" dxfId="149" priority="4" operator="equal">
      <formula>"Menor"</formula>
    </cfRule>
    <cfRule type="cellIs" dxfId="148" priority="5" operator="equal">
      <formula>"Leve"</formula>
    </cfRule>
  </conditionalFormatting>
  <hyperlinks>
    <hyperlink ref="A14:O15" location="Instructivo!A1" display="IDENTIFICACIÓN DEL RIESGO" xr:uid="{71B94FB8-7DB0-408C-B5B4-7CCA83DC0CE3}"/>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3BDEF-ECAA-4D34-838E-E92078A30A14}">
  <sheetPr>
    <tabColor theme="0"/>
    <pageSetUpPr fitToPage="1"/>
  </sheetPr>
  <dimension ref="A1:BA29"/>
  <sheetViews>
    <sheetView showGridLines="0" view="pageBreakPreview" topLeftCell="AW17" zoomScale="60" zoomScaleNormal="60" workbookViewId="0">
      <selection activeCell="AW16" sqref="AW16"/>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88671875" customWidth="1"/>
    <col min="12" max="12" width="20.109375"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23" width="46.6640625" style="1" customWidth="1"/>
    <col min="24" max="24" width="15.88671875" style="1" customWidth="1"/>
    <col min="25" max="27" width="10.33203125" style="1" customWidth="1"/>
    <col min="28" max="28" width="6" style="1" customWidth="1"/>
    <col min="29" max="29" width="13.6640625" style="1" customWidth="1"/>
    <col min="30" max="30" width="7.5546875" style="1" customWidth="1"/>
    <col min="31" max="31" width="5.6640625" style="1" customWidth="1"/>
    <col min="32" max="32" width="22.33203125"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5546875" style="4" customWidth="1"/>
    <col min="41" max="41" width="1" style="4" customWidth="1"/>
    <col min="42" max="42" width="26.88671875" style="4" customWidth="1"/>
    <col min="43" max="43" width="26.6640625" style="1" customWidth="1"/>
    <col min="44" max="44" width="20.88671875" style="1" customWidth="1"/>
    <col min="45" max="45" width="1" customWidth="1"/>
    <col min="46" max="46" width="18.33203125" customWidth="1"/>
    <col min="47" max="47" width="60.5546875" customWidth="1"/>
    <col min="48" max="50" width="45" customWidth="1"/>
    <col min="51" max="51" width="1" customWidth="1"/>
    <col min="52" max="52" width="65.33203125" customWidth="1"/>
    <col min="53" max="53" width="4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4</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399999999999999"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7</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45828</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29" t="s">
        <v>610</v>
      </c>
      <c r="E10" s="230"/>
      <c r="F10" s="230"/>
      <c r="G10" s="230"/>
      <c r="H10" s="230"/>
      <c r="I10" s="230"/>
      <c r="J10" s="230"/>
      <c r="K10" s="230"/>
      <c r="L10" s="230"/>
      <c r="M10" s="231"/>
      <c r="N10" s="21"/>
      <c r="AN10" s="1"/>
      <c r="AO10" s="1"/>
      <c r="AP10" s="1"/>
    </row>
    <row r="11" spans="1:53" s="3" customFormat="1" ht="75" customHeight="1" x14ac:dyDescent="0.3">
      <c r="A11" s="194" t="s">
        <v>11</v>
      </c>
      <c r="B11" s="194"/>
      <c r="C11" s="194"/>
      <c r="D11" s="233" t="s">
        <v>611</v>
      </c>
      <c r="E11" s="234"/>
      <c r="F11" s="234"/>
      <c r="G11" s="234"/>
      <c r="H11" s="234"/>
      <c r="I11" s="234"/>
      <c r="J11" s="234"/>
      <c r="K11" s="234"/>
      <c r="L11" s="234"/>
      <c r="M11" s="235"/>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94" t="s">
        <v>13</v>
      </c>
      <c r="B12" s="194"/>
      <c r="C12" s="194"/>
      <c r="D12" s="233" t="s">
        <v>612</v>
      </c>
      <c r="E12" s="234"/>
      <c r="F12" s="234"/>
      <c r="G12" s="234"/>
      <c r="H12" s="234"/>
      <c r="I12" s="234"/>
      <c r="J12" s="234"/>
      <c r="K12" s="234"/>
      <c r="L12" s="234"/>
      <c r="M12" s="235"/>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66" t="s">
        <v>15</v>
      </c>
      <c r="B14" s="167"/>
      <c r="C14" s="167"/>
      <c r="D14" s="167"/>
      <c r="E14" s="167"/>
      <c r="F14" s="167"/>
      <c r="G14" s="167"/>
      <c r="H14" s="167"/>
      <c r="I14" s="167"/>
      <c r="J14" s="167"/>
      <c r="K14" s="167"/>
      <c r="L14" s="167"/>
      <c r="M14" s="167"/>
      <c r="N14" s="168"/>
      <c r="O14" s="169"/>
      <c r="P14" s="2"/>
      <c r="Q14" s="174" t="s">
        <v>16</v>
      </c>
      <c r="R14" s="175"/>
      <c r="S14" s="175"/>
      <c r="T14" s="175"/>
      <c r="U14" s="175"/>
      <c r="V14" s="175"/>
      <c r="W14" s="175"/>
      <c r="X14" s="175"/>
      <c r="Y14" s="176"/>
      <c r="Z14" s="176"/>
      <c r="AA14" s="176"/>
      <c r="AB14" s="176"/>
      <c r="AC14" s="176"/>
      <c r="AD14" s="176"/>
      <c r="AE14" s="176"/>
      <c r="AF14" s="175"/>
      <c r="AG14" s="175"/>
      <c r="AH14" s="175"/>
      <c r="AI14" s="175"/>
      <c r="AJ14" s="175"/>
      <c r="AK14" s="175"/>
      <c r="AL14" s="175"/>
      <c r="AM14" s="175"/>
      <c r="AN14" s="177"/>
      <c r="AO14" s="2"/>
      <c r="AP14" s="178" t="s">
        <v>17</v>
      </c>
      <c r="AQ14" s="179"/>
      <c r="AR14" s="180"/>
      <c r="AT14" s="184" t="s">
        <v>18</v>
      </c>
      <c r="AU14" s="185"/>
      <c r="AV14" s="185"/>
      <c r="AW14" s="185"/>
      <c r="AX14" s="186"/>
      <c r="AY14" s="27"/>
      <c r="AZ14" s="178" t="s">
        <v>19</v>
      </c>
      <c r="BA14" s="180"/>
    </row>
    <row r="15" spans="1:53" x14ac:dyDescent="0.3">
      <c r="A15" s="170"/>
      <c r="B15" s="171"/>
      <c r="C15" s="171"/>
      <c r="D15" s="171"/>
      <c r="E15" s="171"/>
      <c r="F15" s="171"/>
      <c r="G15" s="171"/>
      <c r="H15" s="171"/>
      <c r="I15" s="171"/>
      <c r="J15" s="171"/>
      <c r="K15" s="171"/>
      <c r="L15" s="171"/>
      <c r="M15" s="171"/>
      <c r="N15" s="172"/>
      <c r="O15" s="173"/>
      <c r="P15" s="2"/>
      <c r="Q15" s="23"/>
      <c r="R15" s="24"/>
      <c r="S15" s="24"/>
      <c r="T15" s="24"/>
      <c r="U15" s="24"/>
      <c r="V15" s="24"/>
      <c r="W15" s="24"/>
      <c r="X15" s="24"/>
      <c r="Y15" s="189" t="s">
        <v>20</v>
      </c>
      <c r="Z15" s="190"/>
      <c r="AA15" s="191"/>
      <c r="AB15" s="189" t="s">
        <v>21</v>
      </c>
      <c r="AC15" s="190"/>
      <c r="AD15" s="190"/>
      <c r="AE15" s="190"/>
      <c r="AF15" s="191"/>
      <c r="AG15" s="192"/>
      <c r="AH15" s="192"/>
      <c r="AI15" s="192"/>
      <c r="AJ15" s="192"/>
      <c r="AK15" s="192"/>
      <c r="AL15" s="192"/>
      <c r="AM15" s="192"/>
      <c r="AN15" s="193"/>
      <c r="AO15" s="2"/>
      <c r="AP15" s="181"/>
      <c r="AQ15" s="182"/>
      <c r="AR15" s="183"/>
      <c r="AT15" s="187"/>
      <c r="AU15" s="182"/>
      <c r="AV15" s="182"/>
      <c r="AW15" s="182"/>
      <c r="AX15" s="188"/>
      <c r="AY15" s="27"/>
      <c r="AZ15" s="181"/>
      <c r="BA15" s="183"/>
    </row>
    <row r="16" spans="1:53" s="5" customFormat="1" ht="166.5" customHeight="1" x14ac:dyDescent="0.3">
      <c r="A16" s="9" t="s">
        <v>22</v>
      </c>
      <c r="B16" s="10" t="s">
        <v>23</v>
      </c>
      <c r="C16" s="11" t="s">
        <v>24</v>
      </c>
      <c r="D16" s="11" t="s">
        <v>25</v>
      </c>
      <c r="E16" s="12" t="s">
        <v>26</v>
      </c>
      <c r="F16" s="19" t="s">
        <v>27</v>
      </c>
      <c r="G16" s="29" t="s">
        <v>28</v>
      </c>
      <c r="H16" s="12" t="s">
        <v>29</v>
      </c>
      <c r="I16" s="11" t="s">
        <v>30</v>
      </c>
      <c r="J16" s="11" t="s">
        <v>31</v>
      </c>
      <c r="K16" s="12" t="s">
        <v>32</v>
      </c>
      <c r="L16" s="12" t="s">
        <v>33</v>
      </c>
      <c r="M16" s="11" t="s">
        <v>30</v>
      </c>
      <c r="N16" s="11" t="s">
        <v>34</v>
      </c>
      <c r="O16" s="13" t="s">
        <v>35</v>
      </c>
      <c r="P16" s="2"/>
      <c r="Q16" s="14" t="s">
        <v>36</v>
      </c>
      <c r="R16" s="95" t="s">
        <v>37</v>
      </c>
      <c r="S16" s="95" t="s">
        <v>38</v>
      </c>
      <c r="T16" s="95" t="s">
        <v>39</v>
      </c>
      <c r="U16" s="95" t="s">
        <v>40</v>
      </c>
      <c r="V16" s="95" t="s">
        <v>41</v>
      </c>
      <c r="W16" s="95" t="s">
        <v>42</v>
      </c>
      <c r="X16" s="25" t="s">
        <v>43</v>
      </c>
      <c r="Y16" s="44" t="s">
        <v>44</v>
      </c>
      <c r="Z16" s="44" t="s">
        <v>45</v>
      </c>
      <c r="AA16" s="16" t="s">
        <v>46</v>
      </c>
      <c r="AB16" s="161" t="s">
        <v>47</v>
      </c>
      <c r="AC16" s="162"/>
      <c r="AD16" s="16" t="s">
        <v>48</v>
      </c>
      <c r="AE16" s="161" t="s">
        <v>49</v>
      </c>
      <c r="AF16" s="162"/>
      <c r="AG16" s="17" t="s">
        <v>50</v>
      </c>
      <c r="AH16" s="17" t="s">
        <v>51</v>
      </c>
      <c r="AI16" s="17" t="s">
        <v>30</v>
      </c>
      <c r="AJ16" s="17" t="s">
        <v>52</v>
      </c>
      <c r="AK16" s="17" t="s">
        <v>30</v>
      </c>
      <c r="AL16" s="17" t="s">
        <v>34</v>
      </c>
      <c r="AM16" s="17" t="s">
        <v>53</v>
      </c>
      <c r="AN16" s="13" t="s">
        <v>54</v>
      </c>
      <c r="AO16" s="2"/>
      <c r="AP16" s="18" t="s">
        <v>55</v>
      </c>
      <c r="AQ16" s="15" t="s">
        <v>56</v>
      </c>
      <c r="AR16" s="26" t="s">
        <v>57</v>
      </c>
      <c r="AT16" s="40" t="s">
        <v>58</v>
      </c>
      <c r="AU16" s="42" t="s">
        <v>59</v>
      </c>
      <c r="AV16" s="42" t="s">
        <v>60</v>
      </c>
      <c r="AW16" s="42" t="s">
        <v>61</v>
      </c>
      <c r="AX16" s="41" t="s">
        <v>62</v>
      </c>
      <c r="AY16" s="28"/>
      <c r="AZ16" s="43" t="s">
        <v>63</v>
      </c>
      <c r="BA16" s="96" t="s">
        <v>64</v>
      </c>
    </row>
    <row r="17" spans="1:53" ht="353.25" customHeight="1" x14ac:dyDescent="0.3">
      <c r="A17" s="163">
        <v>1</v>
      </c>
      <c r="B17" s="163" t="s">
        <v>65</v>
      </c>
      <c r="C17" s="472" t="s">
        <v>613</v>
      </c>
      <c r="D17" s="472" t="s">
        <v>614</v>
      </c>
      <c r="E17" s="473" t="s">
        <v>615</v>
      </c>
      <c r="F17" s="165"/>
      <c r="G17" s="280">
        <v>17706</v>
      </c>
      <c r="H17" s="160" t="str">
        <f>IF(G17&lt;=0,"",IF(G17&lt;=2,"Muy Baja",IF(G17&lt;=24,"Baja",IF(G17&lt;=500,"Media",IF(G17&lt;=5000,"Alta","Muy Alta")))))</f>
        <v>Muy Alta</v>
      </c>
      <c r="I17" s="157">
        <f>IF(H17="","",IF(H17="Muy Baja",0.2,IF(H17="Baja",0.4,IF(H17="Media",0.6,IF(H17="Alta",0.8,IF(H17="Muy Alta",1,))))))</f>
        <v>1</v>
      </c>
      <c r="J17" s="238" t="s">
        <v>150</v>
      </c>
      <c r="K17" s="239" t="str">
        <f>+J17</f>
        <v>El riesgo afecta la imagen de la entidad con algunos usuarios de relevancia frente al logro de los objetivos.</v>
      </c>
      <c r="L17" s="160" t="str">
        <f>+VLOOKUP(K17,[6]Datos!$O$4:$P$15,2,FALSE)</f>
        <v>Moderado</v>
      </c>
      <c r="M17" s="157">
        <f>IF(L17="","",IF(L17="Leve",0.2,IF(L17="Menor",0.4,IF(L17="Moderado",0.6,IF(L17="Mayor",0.8,IF(L17="Catastrófico",1,))))))</f>
        <v>0.6</v>
      </c>
      <c r="N17" s="157" t="str">
        <f>+CONCATENATE(H17, " - ", L17)</f>
        <v>Muy Alta - Moderado</v>
      </c>
      <c r="O17" s="240" t="str">
        <f>+VLOOKUP(N17,[6]Datos!J4:K28,2,)</f>
        <v>ALTO</v>
      </c>
      <c r="P17" s="99"/>
      <c r="Q17" s="100">
        <v>1</v>
      </c>
      <c r="R17" s="71" t="s">
        <v>616</v>
      </c>
      <c r="S17" s="75" t="s">
        <v>617</v>
      </c>
      <c r="T17" s="75" t="s">
        <v>618</v>
      </c>
      <c r="U17" s="71" t="s">
        <v>619</v>
      </c>
      <c r="V17" s="71" t="s">
        <v>620</v>
      </c>
      <c r="W17" s="75" t="s">
        <v>621</v>
      </c>
      <c r="X17" s="30" t="str">
        <f>IF(OR(Y17="Preventivo",Y17="Detectivo"),"Probabilidad",IF(Y17="Correctivo","Impacto",""))</f>
        <v>Probabilidad</v>
      </c>
      <c r="Y17" s="6" t="s">
        <v>76</v>
      </c>
      <c r="Z17" s="6" t="s">
        <v>77</v>
      </c>
      <c r="AA17" s="31" t="str">
        <f t="shared" ref="AA17:AA19" si="0">IF(AND(Y17="Preventivo",Z17="Automático"),"50%",IF(AND(Y17="Preventivo",Z17="Manual"),"40%",IF(AND(Y17="Detectivo",Z17="Automático"),"40%",IF(AND(Y17="Detectivo",Z17="Manual"),"30%",IF(AND(Y17="Correctivo",Z17="Automático"),"35%",IF(AND(Y17="Correctivo",Z17="Manual"),"25%",""))))))</f>
        <v>40%</v>
      </c>
      <c r="AB17" s="8" t="s">
        <v>78</v>
      </c>
      <c r="AC17" s="474" t="s">
        <v>622</v>
      </c>
      <c r="AD17" s="6" t="s">
        <v>99</v>
      </c>
      <c r="AE17" s="8" t="s">
        <v>81</v>
      </c>
      <c r="AF17" s="242" t="s">
        <v>623</v>
      </c>
      <c r="AG17" s="32">
        <f>IFERROR(IF(X17="Probabilidad",(I17-(+I17*AA17)),IF(X17="Impacto",I17,"")),"")</f>
        <v>0.6</v>
      </c>
      <c r="AH17" s="33" t="str">
        <f t="shared" ref="AH17:AH19" si="1">IFERROR(IF(AG17="","",IF(AG17&lt;=0.2,"Muy Baja",IF(AG17&lt;=0.4,"Baja",IF(AG17&lt;=0.6,"Media",IF(AG17&lt;=0.8,"Alta","Muy Alta"))))),"")</f>
        <v>Media</v>
      </c>
      <c r="AI17" s="34">
        <f>I17-(AA17*I17)</f>
        <v>0.6</v>
      </c>
      <c r="AJ17" s="35" t="str">
        <f t="shared" ref="AJ17:AJ19" si="2">IFERROR(IF(AK17="","",IF(AK17&lt;=0.2,"Leve",IF(AK17&lt;=0.4,"Menor",IF(AK17&lt;=0.6,"Moderado",IF(AK17&lt;=0.8,"Mayor","Catastrófico"))))),"")</f>
        <v>Moderado</v>
      </c>
      <c r="AK17" s="32">
        <f>IFERROR(IF(X17="Impacto",(M17-(+M17*AA17)),IF(X17="Probabilidad",M17,"")),"")</f>
        <v>0.6</v>
      </c>
      <c r="AL17" s="36" t="str">
        <f>+CONCATENATE(AH17, " - ", AJ17)</f>
        <v>Media - Moderado</v>
      </c>
      <c r="AM17" s="37" t="str">
        <f>+VLOOKUP(AL17,[6]Datos!$J$4:$K$28,2,)</f>
        <v>MODERADO</v>
      </c>
      <c r="AN17" s="154" t="s">
        <v>82</v>
      </c>
      <c r="AO17" s="99"/>
      <c r="AP17" s="155" t="s">
        <v>624</v>
      </c>
      <c r="AQ17" s="155" t="s">
        <v>625</v>
      </c>
      <c r="AR17" s="155" t="s">
        <v>626</v>
      </c>
      <c r="AS17" s="102"/>
      <c r="AT17" s="103">
        <v>46146</v>
      </c>
      <c r="AU17" s="327" t="s">
        <v>627</v>
      </c>
      <c r="AV17" s="273" t="s">
        <v>628</v>
      </c>
      <c r="AW17" s="267" t="s">
        <v>302</v>
      </c>
      <c r="AX17" s="249" t="s">
        <v>172</v>
      </c>
      <c r="AY17" s="104"/>
      <c r="AZ17" s="463" t="s">
        <v>629</v>
      </c>
      <c r="BA17" s="475" t="s">
        <v>630</v>
      </c>
    </row>
    <row r="18" spans="1:53" ht="408.75" customHeight="1" x14ac:dyDescent="0.3">
      <c r="A18" s="163"/>
      <c r="B18" s="163"/>
      <c r="C18" s="472"/>
      <c r="D18" s="472"/>
      <c r="E18" s="473"/>
      <c r="F18" s="165"/>
      <c r="G18" s="280"/>
      <c r="H18" s="160"/>
      <c r="I18" s="157"/>
      <c r="J18" s="238"/>
      <c r="K18" s="239"/>
      <c r="L18" s="160"/>
      <c r="M18" s="157"/>
      <c r="N18" s="157"/>
      <c r="O18" s="240"/>
      <c r="P18" s="99"/>
      <c r="Q18" s="100">
        <v>2</v>
      </c>
      <c r="R18" s="71" t="s">
        <v>631</v>
      </c>
      <c r="S18" s="75" t="s">
        <v>185</v>
      </c>
      <c r="T18" s="75" t="s">
        <v>632</v>
      </c>
      <c r="U18" s="71" t="s">
        <v>633</v>
      </c>
      <c r="V18" s="71" t="s">
        <v>634</v>
      </c>
      <c r="W18" s="71" t="s">
        <v>635</v>
      </c>
      <c r="X18" s="30" t="str">
        <f t="shared" ref="X18:X19" si="3">IF(OR(Y18="Preventivo",Y18="Detectivo"),"Probabilidad",IF(Y18="Correctivo","Impacto",""))</f>
        <v>Probabilidad</v>
      </c>
      <c r="Y18" s="6" t="s">
        <v>98</v>
      </c>
      <c r="Z18" s="6" t="s">
        <v>77</v>
      </c>
      <c r="AA18" s="31" t="str">
        <f t="shared" si="0"/>
        <v>30%</v>
      </c>
      <c r="AB18" s="8" t="s">
        <v>78</v>
      </c>
      <c r="AC18" s="474" t="s">
        <v>622</v>
      </c>
      <c r="AD18" s="6" t="s">
        <v>99</v>
      </c>
      <c r="AE18" s="8" t="s">
        <v>81</v>
      </c>
      <c r="AF18" s="242" t="s">
        <v>636</v>
      </c>
      <c r="AG18" s="34">
        <f t="shared" ref="AG18:AG19" si="4">IFERROR(IF(AND(X17="Probabilidad",X18="Probabilidad"),(AI17-(+AI17*AA18)),IF(X18="Probabilidad",($I$17-(+$I$17*AA18)),IF(X18="Impacto",AI17,""))),"")</f>
        <v>0.42</v>
      </c>
      <c r="AH18" s="33" t="str">
        <f t="shared" si="1"/>
        <v>Media</v>
      </c>
      <c r="AI18" s="34">
        <f t="shared" ref="AI18:AI19" si="5">+AG18</f>
        <v>0.42</v>
      </c>
      <c r="AJ18" s="35" t="str">
        <f t="shared" si="2"/>
        <v>Moderado</v>
      </c>
      <c r="AK18" s="32">
        <f t="shared" ref="AK18:AK19" si="6">IFERROR(IF(AND(X17="Impacto",X17="Impacto"),(AK17-(+AK17*AA18)),IF(X18="Impacto",($M$17-(+$M$17*AA18)),IF(X18="Probabilidad",AK17,""))),"")</f>
        <v>0.6</v>
      </c>
      <c r="AL18" s="36" t="str">
        <f t="shared" ref="AL18:AL19" si="7">+CONCATENATE(AH18, " - ", AJ18)</f>
        <v>Media - Moderado</v>
      </c>
      <c r="AM18" s="37" t="str">
        <f>+VLOOKUP(AL18,[6]Datos!$J$4:$K$28,2,)</f>
        <v>MODERADO</v>
      </c>
      <c r="AN18" s="154"/>
      <c r="AO18" s="99"/>
      <c r="AP18" s="155"/>
      <c r="AQ18" s="155"/>
      <c r="AR18" s="155"/>
      <c r="AS18" s="102"/>
      <c r="AT18" s="103">
        <v>46146</v>
      </c>
      <c r="AU18" s="327" t="s">
        <v>637</v>
      </c>
      <c r="AV18" s="273"/>
      <c r="AW18" s="274"/>
      <c r="AX18" s="249"/>
      <c r="AY18" s="104"/>
      <c r="AZ18" s="467"/>
      <c r="BA18" s="475"/>
    </row>
    <row r="19" spans="1:53" ht="353.25" customHeight="1" x14ac:dyDescent="0.3">
      <c r="A19" s="163"/>
      <c r="B19" s="163"/>
      <c r="C19" s="472"/>
      <c r="D19" s="472"/>
      <c r="E19" s="473"/>
      <c r="F19" s="165"/>
      <c r="G19" s="280"/>
      <c r="H19" s="160"/>
      <c r="I19" s="157"/>
      <c r="J19" s="238"/>
      <c r="K19" s="239"/>
      <c r="L19" s="160"/>
      <c r="M19" s="157"/>
      <c r="N19" s="157"/>
      <c r="O19" s="240"/>
      <c r="P19" s="99"/>
      <c r="Q19" s="100">
        <v>3</v>
      </c>
      <c r="R19" s="71" t="s">
        <v>638</v>
      </c>
      <c r="S19" s="443" t="s">
        <v>639</v>
      </c>
      <c r="T19" s="416" t="s">
        <v>640</v>
      </c>
      <c r="U19" s="71" t="s">
        <v>641</v>
      </c>
      <c r="V19" s="71" t="s">
        <v>642</v>
      </c>
      <c r="W19" s="71" t="s">
        <v>643</v>
      </c>
      <c r="X19" s="30" t="str">
        <f t="shared" si="3"/>
        <v>Impacto</v>
      </c>
      <c r="Y19" s="6" t="s">
        <v>151</v>
      </c>
      <c r="Z19" s="6" t="s">
        <v>77</v>
      </c>
      <c r="AA19" s="31" t="str">
        <f t="shared" si="0"/>
        <v>25%</v>
      </c>
      <c r="AB19" s="8" t="s">
        <v>78</v>
      </c>
      <c r="AC19" s="474" t="s">
        <v>622</v>
      </c>
      <c r="AD19" s="6" t="s">
        <v>99</v>
      </c>
      <c r="AE19" s="8" t="s">
        <v>81</v>
      </c>
      <c r="AF19" s="474" t="s">
        <v>644</v>
      </c>
      <c r="AG19" s="32">
        <f t="shared" si="4"/>
        <v>0.42</v>
      </c>
      <c r="AH19" s="33" t="str">
        <f t="shared" si="1"/>
        <v>Media</v>
      </c>
      <c r="AI19" s="34">
        <f t="shared" si="5"/>
        <v>0.42</v>
      </c>
      <c r="AJ19" s="35" t="str">
        <f t="shared" si="2"/>
        <v>Moderado</v>
      </c>
      <c r="AK19" s="32">
        <f t="shared" si="6"/>
        <v>0.44999999999999996</v>
      </c>
      <c r="AL19" s="36" t="str">
        <f t="shared" si="7"/>
        <v>Media - Moderado</v>
      </c>
      <c r="AM19" s="37" t="str">
        <f>+VLOOKUP(AL19,[6]Datos!$J$4:$K$28,2,)</f>
        <v>MODERADO</v>
      </c>
      <c r="AN19" s="154"/>
      <c r="AO19" s="99"/>
      <c r="AP19" s="155"/>
      <c r="AQ19" s="155"/>
      <c r="AR19" s="155"/>
      <c r="AS19" s="102"/>
      <c r="AT19" s="103">
        <v>46146</v>
      </c>
      <c r="AU19" s="327" t="s">
        <v>645</v>
      </c>
      <c r="AV19" s="273"/>
      <c r="AW19" s="252"/>
      <c r="AX19" s="249"/>
      <c r="AY19" s="104"/>
      <c r="AZ19" s="471"/>
      <c r="BA19" s="475"/>
    </row>
    <row r="20" spans="1:53" ht="93.75" customHeight="1" x14ac:dyDescent="0.3">
      <c r="B20" s="51"/>
      <c r="C20" s="52"/>
      <c r="D20" s="52"/>
      <c r="E20" s="52"/>
      <c r="F20" s="52"/>
      <c r="G20" s="51"/>
      <c r="H20" s="51"/>
      <c r="I20" s="53"/>
      <c r="J20" s="54"/>
      <c r="K20" s="55"/>
      <c r="L20" s="51"/>
      <c r="M20" s="53"/>
      <c r="N20" s="53"/>
      <c r="O20" s="56"/>
      <c r="P20" s="57"/>
      <c r="Q20" s="58"/>
      <c r="R20" s="59"/>
      <c r="S20" s="59"/>
      <c r="T20" s="59"/>
      <c r="U20" s="59"/>
      <c r="V20" s="59"/>
      <c r="W20" s="59"/>
      <c r="X20" s="58"/>
      <c r="Y20" s="60"/>
      <c r="Z20" s="60"/>
      <c r="AA20" s="61"/>
      <c r="AB20" s="62"/>
      <c r="AC20" s="63"/>
      <c r="AD20" s="60"/>
      <c r="AE20" s="62"/>
      <c r="AF20" s="62"/>
      <c r="AG20" s="64"/>
      <c r="AH20" s="60"/>
      <c r="AI20" s="65"/>
      <c r="AJ20" s="66"/>
      <c r="AK20" s="64"/>
      <c r="AL20" s="67"/>
      <c r="AM20" s="68"/>
      <c r="AN20" s="69"/>
      <c r="AO20" s="57"/>
      <c r="AP20" s="74"/>
      <c r="AQ20" s="74"/>
      <c r="AR20" s="74"/>
      <c r="AT20" s="45"/>
      <c r="AU20" s="46"/>
      <c r="AV20" s="47"/>
      <c r="AW20" s="48"/>
      <c r="AX20" s="49"/>
      <c r="AY20" s="27"/>
      <c r="AZ20" s="47"/>
      <c r="BA20" s="50"/>
    </row>
    <row r="21" spans="1:53" ht="20.399999999999999" x14ac:dyDescent="0.3">
      <c r="A21" s="152" t="s">
        <v>103</v>
      </c>
      <c r="B21" s="152"/>
      <c r="C21" s="152"/>
      <c r="D21" s="152"/>
      <c r="E21" s="152"/>
      <c r="F21" s="152"/>
      <c r="G21" s="152"/>
      <c r="H21" s="152"/>
      <c r="P21" s="2"/>
      <c r="BA21" s="39" t="s">
        <v>104</v>
      </c>
    </row>
    <row r="22" spans="1:53" x14ac:dyDescent="0.3">
      <c r="P22" s="2"/>
    </row>
    <row r="23" spans="1:53" x14ac:dyDescent="0.3">
      <c r="P23" s="2"/>
    </row>
    <row r="24" spans="1:53" x14ac:dyDescent="0.3">
      <c r="P24" s="2"/>
    </row>
    <row r="25" spans="1:53" x14ac:dyDescent="0.3">
      <c r="P25" s="2"/>
    </row>
    <row r="26" spans="1:53" x14ac:dyDescent="0.3">
      <c r="P26" s="2"/>
    </row>
    <row r="27" spans="1:53" x14ac:dyDescent="0.3">
      <c r="P27" s="2"/>
    </row>
    <row r="28" spans="1:53" x14ac:dyDescent="0.3">
      <c r="P28" s="2"/>
    </row>
    <row r="29" spans="1:53" x14ac:dyDescent="0.3">
      <c r="P29" s="2"/>
    </row>
  </sheetData>
  <mergeCells count="52">
    <mergeCell ref="AW17:AW19"/>
    <mergeCell ref="AX17:AX19"/>
    <mergeCell ref="AZ17:AZ19"/>
    <mergeCell ref="BA17:BA19"/>
    <mergeCell ref="A21:H21"/>
    <mergeCell ref="O17:O19"/>
    <mergeCell ref="AN17:AN19"/>
    <mergeCell ref="AP17:AP19"/>
    <mergeCell ref="AQ17:AQ19"/>
    <mergeCell ref="AR17:AR19"/>
    <mergeCell ref="AV17:AV19"/>
    <mergeCell ref="I17:I19"/>
    <mergeCell ref="J17:J19"/>
    <mergeCell ref="K17:K19"/>
    <mergeCell ref="L17:L19"/>
    <mergeCell ref="M17:M19"/>
    <mergeCell ref="N17:N19"/>
    <mergeCell ref="AB16:AC16"/>
    <mergeCell ref="AE16:AF16"/>
    <mergeCell ref="A17:A19"/>
    <mergeCell ref="B17:B19"/>
    <mergeCell ref="C17:C19"/>
    <mergeCell ref="D17:D19"/>
    <mergeCell ref="E17:E19"/>
    <mergeCell ref="F17:F19"/>
    <mergeCell ref="G17:G19"/>
    <mergeCell ref="H17:H19"/>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20">
    <cfRule type="cellIs" dxfId="147" priority="20" operator="equal">
      <formula>"Muy Alta"</formula>
    </cfRule>
    <cfRule type="cellIs" dxfId="146" priority="21" operator="equal">
      <formula>"Alta"</formula>
    </cfRule>
    <cfRule type="cellIs" dxfId="145" priority="22" operator="equal">
      <formula>"Media"</formula>
    </cfRule>
    <cfRule type="cellIs" dxfId="144" priority="23" operator="equal">
      <formula>"Muy Baja"</formula>
    </cfRule>
    <cfRule type="cellIs" dxfId="143" priority="24" operator="equal">
      <formula>"Baja"</formula>
    </cfRule>
  </conditionalFormatting>
  <conditionalFormatting sqref="L17:L20">
    <cfRule type="cellIs" dxfId="142" priority="15" operator="equal">
      <formula>"Leve"</formula>
    </cfRule>
    <cfRule type="cellIs" dxfId="141" priority="16" operator="equal">
      <formula>"Catastrófico"</formula>
    </cfRule>
    <cfRule type="cellIs" dxfId="140" priority="17" operator="equal">
      <formula>"Mayor"</formula>
    </cfRule>
    <cfRule type="cellIs" dxfId="139" priority="18" operator="equal">
      <formula>"Moderado"</formula>
    </cfRule>
    <cfRule type="cellIs" dxfId="138" priority="19" operator="equal">
      <formula>"Menor"</formula>
    </cfRule>
  </conditionalFormatting>
  <conditionalFormatting sqref="O17:O20 AM17:AM20">
    <cfRule type="cellIs" dxfId="137" priority="11" operator="equal">
      <formula>"EXTREMO"</formula>
    </cfRule>
    <cfRule type="cellIs" dxfId="136" priority="12" operator="equal">
      <formula>"ALTO"</formula>
    </cfRule>
    <cfRule type="cellIs" dxfId="135" priority="13" operator="equal">
      <formula>"BAJO"</formula>
    </cfRule>
    <cfRule type="cellIs" dxfId="134" priority="14" operator="equal">
      <formula>"MODERADO"</formula>
    </cfRule>
  </conditionalFormatting>
  <conditionalFormatting sqref="AH17:AH20">
    <cfRule type="cellIs" dxfId="133" priority="6" operator="equal">
      <formula>"Muy Baja"</formula>
    </cfRule>
    <cfRule type="cellIs" dxfId="132" priority="7" operator="equal">
      <formula>"Baja"</formula>
    </cfRule>
    <cfRule type="cellIs" dxfId="131" priority="8" operator="equal">
      <formula>"Media"</formula>
    </cfRule>
    <cfRule type="cellIs" dxfId="130" priority="9" operator="equal">
      <formula>"Muy Alta"</formula>
    </cfRule>
    <cfRule type="cellIs" dxfId="129" priority="10" operator="equal">
      <formula>"Alta"</formula>
    </cfRule>
  </conditionalFormatting>
  <conditionalFormatting sqref="AJ17:AJ20">
    <cfRule type="cellIs" dxfId="128" priority="1" operator="equal">
      <formula>"Catastrófico"</formula>
    </cfRule>
    <cfRule type="cellIs" dxfId="127" priority="2" operator="equal">
      <formula>"Mayor"</formula>
    </cfRule>
    <cfRule type="cellIs" dxfId="126" priority="3" operator="equal">
      <formula>"Moderado"</formula>
    </cfRule>
    <cfRule type="cellIs" dxfId="125" priority="4" operator="equal">
      <formula>"Menor"</formula>
    </cfRule>
    <cfRule type="cellIs" dxfId="124" priority="5" operator="equal">
      <formula>"Leve"</formula>
    </cfRule>
  </conditionalFormatting>
  <hyperlinks>
    <hyperlink ref="A14:O15" location="Instructivo!A1" display="IDENTIFICACIÓN DEL RIESGO" xr:uid="{253D72B0-4168-4E93-983A-6201A2FB64D0}"/>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A0F03-86FB-440A-843B-AC51F6ABC624}">
  <sheetPr>
    <tabColor theme="0"/>
    <pageSetUpPr fitToPage="1"/>
  </sheetPr>
  <dimension ref="A1:BA31"/>
  <sheetViews>
    <sheetView showGridLines="0" view="pageBreakPreview" topLeftCell="AG16" zoomScale="70" zoomScaleNormal="60" zoomScaleSheetLayoutView="70" workbookViewId="0">
      <selection activeCell="AW16" sqref="AW16"/>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88671875" customWidth="1"/>
    <col min="12" max="12" width="20.109375"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23" width="46.6640625" style="1" customWidth="1"/>
    <col min="24" max="24" width="15.88671875" style="1" customWidth="1"/>
    <col min="25" max="27" width="10.33203125" style="1" customWidth="1"/>
    <col min="28" max="28" width="6" style="1" customWidth="1"/>
    <col min="29" max="29" width="13.6640625" style="1" customWidth="1"/>
    <col min="30" max="30" width="7.5546875" style="1" customWidth="1"/>
    <col min="31" max="31" width="5.6640625" style="1" customWidth="1"/>
    <col min="32" max="32" width="17"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5546875" style="4" customWidth="1"/>
    <col min="41" max="41" width="1" style="4" customWidth="1"/>
    <col min="42" max="42" width="26.88671875" style="4" customWidth="1"/>
    <col min="43" max="43" width="26.6640625" style="1" customWidth="1"/>
    <col min="44" max="44" width="20.88671875" style="1" customWidth="1"/>
    <col min="45" max="45" width="1" customWidth="1"/>
    <col min="46" max="46" width="18.33203125" customWidth="1"/>
    <col min="47" max="50" width="45" customWidth="1"/>
    <col min="51" max="51" width="1" customWidth="1"/>
    <col min="52" max="52" width="72.109375" customWidth="1"/>
    <col min="53" max="53" width="65.554687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4</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399999999999999"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105</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45828</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29" t="s">
        <v>610</v>
      </c>
      <c r="E10" s="230"/>
      <c r="F10" s="230"/>
      <c r="G10" s="230"/>
      <c r="H10" s="230"/>
      <c r="I10" s="230"/>
      <c r="J10" s="230"/>
      <c r="K10" s="230"/>
      <c r="L10" s="230"/>
      <c r="M10" s="231"/>
      <c r="N10" s="21"/>
      <c r="AN10" s="1"/>
      <c r="AO10" s="1"/>
      <c r="AP10" s="1"/>
    </row>
    <row r="11" spans="1:53" s="3" customFormat="1" ht="75" customHeight="1" x14ac:dyDescent="0.3">
      <c r="A11" s="194" t="s">
        <v>11</v>
      </c>
      <c r="B11" s="194"/>
      <c r="C11" s="194"/>
      <c r="D11" s="233" t="s">
        <v>611</v>
      </c>
      <c r="E11" s="234"/>
      <c r="F11" s="234"/>
      <c r="G11" s="234"/>
      <c r="H11" s="234"/>
      <c r="I11" s="234"/>
      <c r="J11" s="234"/>
      <c r="K11" s="234"/>
      <c r="L11" s="234"/>
      <c r="M11" s="235"/>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94" t="s">
        <v>13</v>
      </c>
      <c r="B12" s="194"/>
      <c r="C12" s="194"/>
      <c r="D12" s="233" t="s">
        <v>612</v>
      </c>
      <c r="E12" s="234"/>
      <c r="F12" s="234"/>
      <c r="G12" s="234"/>
      <c r="H12" s="234"/>
      <c r="I12" s="234"/>
      <c r="J12" s="234"/>
      <c r="K12" s="234"/>
      <c r="L12" s="234"/>
      <c r="M12" s="235"/>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66" t="s">
        <v>15</v>
      </c>
      <c r="B14" s="167"/>
      <c r="C14" s="167"/>
      <c r="D14" s="167"/>
      <c r="E14" s="167"/>
      <c r="F14" s="167"/>
      <c r="G14" s="167"/>
      <c r="H14" s="167"/>
      <c r="I14" s="167"/>
      <c r="J14" s="167"/>
      <c r="K14" s="167"/>
      <c r="L14" s="167"/>
      <c r="M14" s="167"/>
      <c r="N14" s="168"/>
      <c r="O14" s="169"/>
      <c r="P14" s="2"/>
      <c r="Q14" s="174" t="s">
        <v>16</v>
      </c>
      <c r="R14" s="175"/>
      <c r="S14" s="175"/>
      <c r="T14" s="175"/>
      <c r="U14" s="175"/>
      <c r="V14" s="175"/>
      <c r="W14" s="175"/>
      <c r="X14" s="175"/>
      <c r="Y14" s="176"/>
      <c r="Z14" s="176"/>
      <c r="AA14" s="176"/>
      <c r="AB14" s="176"/>
      <c r="AC14" s="176"/>
      <c r="AD14" s="176"/>
      <c r="AE14" s="176"/>
      <c r="AF14" s="175"/>
      <c r="AG14" s="175"/>
      <c r="AH14" s="175"/>
      <c r="AI14" s="175"/>
      <c r="AJ14" s="175"/>
      <c r="AK14" s="175"/>
      <c r="AL14" s="175"/>
      <c r="AM14" s="175"/>
      <c r="AN14" s="177"/>
      <c r="AO14" s="2"/>
      <c r="AP14" s="178" t="s">
        <v>17</v>
      </c>
      <c r="AQ14" s="179"/>
      <c r="AR14" s="180"/>
      <c r="AT14" s="184" t="s">
        <v>18</v>
      </c>
      <c r="AU14" s="185"/>
      <c r="AV14" s="185"/>
      <c r="AW14" s="185"/>
      <c r="AX14" s="186"/>
      <c r="AY14" s="27"/>
      <c r="AZ14" s="178" t="s">
        <v>19</v>
      </c>
      <c r="BA14" s="180"/>
    </row>
    <row r="15" spans="1:53" x14ac:dyDescent="0.3">
      <c r="A15" s="170"/>
      <c r="B15" s="171"/>
      <c r="C15" s="171"/>
      <c r="D15" s="171"/>
      <c r="E15" s="171"/>
      <c r="F15" s="171"/>
      <c r="G15" s="171"/>
      <c r="H15" s="171"/>
      <c r="I15" s="171"/>
      <c r="J15" s="171"/>
      <c r="K15" s="171"/>
      <c r="L15" s="171"/>
      <c r="M15" s="171"/>
      <c r="N15" s="172"/>
      <c r="O15" s="173"/>
      <c r="P15" s="2"/>
      <c r="Q15" s="23"/>
      <c r="R15" s="24"/>
      <c r="S15" s="24"/>
      <c r="T15" s="24"/>
      <c r="U15" s="24"/>
      <c r="V15" s="24"/>
      <c r="W15" s="24"/>
      <c r="X15" s="24"/>
      <c r="Y15" s="189" t="s">
        <v>20</v>
      </c>
      <c r="Z15" s="190"/>
      <c r="AA15" s="191"/>
      <c r="AB15" s="189" t="s">
        <v>21</v>
      </c>
      <c r="AC15" s="190"/>
      <c r="AD15" s="190"/>
      <c r="AE15" s="190"/>
      <c r="AF15" s="191"/>
      <c r="AG15" s="192"/>
      <c r="AH15" s="192"/>
      <c r="AI15" s="192"/>
      <c r="AJ15" s="192"/>
      <c r="AK15" s="192"/>
      <c r="AL15" s="192"/>
      <c r="AM15" s="192"/>
      <c r="AN15" s="193"/>
      <c r="AO15" s="2"/>
      <c r="AP15" s="181"/>
      <c r="AQ15" s="182"/>
      <c r="AR15" s="183"/>
      <c r="AT15" s="187"/>
      <c r="AU15" s="182"/>
      <c r="AV15" s="182"/>
      <c r="AW15" s="182"/>
      <c r="AX15" s="188"/>
      <c r="AY15" s="27"/>
      <c r="AZ15" s="181"/>
      <c r="BA15" s="183"/>
    </row>
    <row r="16" spans="1:53" s="5" customFormat="1" ht="166.5" customHeight="1" x14ac:dyDescent="0.3">
      <c r="A16" s="9" t="s">
        <v>22</v>
      </c>
      <c r="B16" s="10" t="s">
        <v>23</v>
      </c>
      <c r="C16" s="11" t="s">
        <v>24</v>
      </c>
      <c r="D16" s="11" t="s">
        <v>25</v>
      </c>
      <c r="E16" s="12" t="s">
        <v>26</v>
      </c>
      <c r="F16" s="19" t="s">
        <v>27</v>
      </c>
      <c r="G16" s="29" t="s">
        <v>28</v>
      </c>
      <c r="H16" s="12" t="s">
        <v>29</v>
      </c>
      <c r="I16" s="11" t="s">
        <v>30</v>
      </c>
      <c r="J16" s="11" t="s">
        <v>31</v>
      </c>
      <c r="K16" s="12" t="s">
        <v>32</v>
      </c>
      <c r="L16" s="12" t="s">
        <v>33</v>
      </c>
      <c r="M16" s="11" t="s">
        <v>30</v>
      </c>
      <c r="N16" s="11" t="s">
        <v>34</v>
      </c>
      <c r="O16" s="13" t="s">
        <v>35</v>
      </c>
      <c r="P16" s="2"/>
      <c r="Q16" s="14" t="s">
        <v>36</v>
      </c>
      <c r="R16" s="95" t="s">
        <v>37</v>
      </c>
      <c r="S16" s="95" t="s">
        <v>38</v>
      </c>
      <c r="T16" s="95" t="s">
        <v>39</v>
      </c>
      <c r="U16" s="95" t="s">
        <v>40</v>
      </c>
      <c r="V16" s="95" t="s">
        <v>41</v>
      </c>
      <c r="W16" s="95" t="s">
        <v>42</v>
      </c>
      <c r="X16" s="25" t="s">
        <v>43</v>
      </c>
      <c r="Y16" s="44" t="s">
        <v>44</v>
      </c>
      <c r="Z16" s="44" t="s">
        <v>45</v>
      </c>
      <c r="AA16" s="16" t="s">
        <v>46</v>
      </c>
      <c r="AB16" s="161" t="s">
        <v>47</v>
      </c>
      <c r="AC16" s="162"/>
      <c r="AD16" s="16" t="s">
        <v>48</v>
      </c>
      <c r="AE16" s="161" t="s">
        <v>49</v>
      </c>
      <c r="AF16" s="162"/>
      <c r="AG16" s="17" t="s">
        <v>50</v>
      </c>
      <c r="AH16" s="17" t="s">
        <v>51</v>
      </c>
      <c r="AI16" s="17" t="s">
        <v>30</v>
      </c>
      <c r="AJ16" s="17" t="s">
        <v>52</v>
      </c>
      <c r="AK16" s="17" t="s">
        <v>30</v>
      </c>
      <c r="AL16" s="17" t="s">
        <v>34</v>
      </c>
      <c r="AM16" s="17" t="s">
        <v>53</v>
      </c>
      <c r="AN16" s="13" t="s">
        <v>54</v>
      </c>
      <c r="AO16" s="2"/>
      <c r="AP16" s="18" t="s">
        <v>55</v>
      </c>
      <c r="AQ16" s="15" t="s">
        <v>56</v>
      </c>
      <c r="AR16" s="26" t="s">
        <v>57</v>
      </c>
      <c r="AT16" s="40" t="s">
        <v>58</v>
      </c>
      <c r="AU16" s="42" t="s">
        <v>59</v>
      </c>
      <c r="AV16" s="42" t="s">
        <v>60</v>
      </c>
      <c r="AW16" s="42" t="s">
        <v>61</v>
      </c>
      <c r="AX16" s="41" t="s">
        <v>62</v>
      </c>
      <c r="AY16" s="28"/>
      <c r="AZ16" s="43" t="s">
        <v>63</v>
      </c>
      <c r="BA16" s="96" t="s">
        <v>64</v>
      </c>
    </row>
    <row r="17" spans="1:53" ht="405" customHeight="1" x14ac:dyDescent="0.3">
      <c r="A17" s="163">
        <v>2</v>
      </c>
      <c r="B17" s="163" t="s">
        <v>65</v>
      </c>
      <c r="C17" s="165" t="s">
        <v>646</v>
      </c>
      <c r="D17" s="165" t="s">
        <v>647</v>
      </c>
      <c r="E17" s="165" t="s">
        <v>648</v>
      </c>
      <c r="F17" s="165"/>
      <c r="G17" s="280">
        <v>246</v>
      </c>
      <c r="H17" s="160" t="str">
        <f>IF(G17&lt;=0,"",IF(G17&lt;=2,"Muy Baja",IF(G17&lt;=24,"Baja",IF(G17&lt;=500,"Media",IF(G17&lt;=5000,"Alta","Muy Alta")))))</f>
        <v>Media</v>
      </c>
      <c r="I17" s="157">
        <f>IF(H17="","",IF(H17="Muy Baja",0.2,IF(H17="Baja",0.4,IF(H17="Media",0.6,IF(H17="Alta",0.8,IF(H17="Muy Alta",1,))))))</f>
        <v>0.6</v>
      </c>
      <c r="J17" s="238" t="s">
        <v>149</v>
      </c>
      <c r="K17" s="239" t="str">
        <f>+J17</f>
        <v>El riesgo afecta la imagen de la entidad internamente, de conocimiento general nivel interno, de junta directiva y/o de proveedores</v>
      </c>
      <c r="L17" s="160" t="str">
        <f>+VLOOKUP(K17,[6]Datos!$O$4:$P$15,2,FALSE)</f>
        <v>Menor</v>
      </c>
      <c r="M17" s="157">
        <f>IF(L17="","",IF(L17="Leve",0.2,IF(L17="Menor",0.4,IF(L17="Moderado",0.6,IF(L17="Mayor",0.8,IF(L17="Catastrófico",1,))))))</f>
        <v>0.4</v>
      </c>
      <c r="N17" s="157" t="str">
        <f>+CONCATENATE(H17, " - ", L17)</f>
        <v>Media - Menor</v>
      </c>
      <c r="O17" s="240" t="str">
        <f>+VLOOKUP(N17,[6]Datos!J4:K28,2,)</f>
        <v>MODERADO</v>
      </c>
      <c r="P17" s="99"/>
      <c r="Q17" s="100">
        <v>1</v>
      </c>
      <c r="R17" s="71" t="s">
        <v>649</v>
      </c>
      <c r="S17" s="75" t="s">
        <v>241</v>
      </c>
      <c r="T17" s="288" t="s">
        <v>650</v>
      </c>
      <c r="U17" s="288" t="s">
        <v>651</v>
      </c>
      <c r="V17" s="71" t="s">
        <v>652</v>
      </c>
      <c r="W17" s="71" t="s">
        <v>653</v>
      </c>
      <c r="X17" s="30" t="str">
        <f>IF(OR(Y17="Preventivo",Y17="Detectivo"),"Probabilidad",IF(Y17="Correctivo","Impacto",""))</f>
        <v>Probabilidad</v>
      </c>
      <c r="Y17" s="6" t="s">
        <v>76</v>
      </c>
      <c r="Z17" s="6" t="s">
        <v>77</v>
      </c>
      <c r="AA17" s="31" t="str">
        <f t="shared" ref="AA17:AA21" si="0">IF(AND(Y17="Preventivo",Z17="Automático"),"50%",IF(AND(Y17="Preventivo",Z17="Manual"),"40%",IF(AND(Y17="Detectivo",Z17="Automático"),"40%",IF(AND(Y17="Detectivo",Z17="Manual"),"30%",IF(AND(Y17="Correctivo",Z17="Automático"),"35%",IF(AND(Y17="Correctivo",Z17="Manual"),"25%",""))))))</f>
        <v>40%</v>
      </c>
      <c r="AB17" s="242" t="s">
        <v>78</v>
      </c>
      <c r="AC17" s="474" t="s">
        <v>654</v>
      </c>
      <c r="AD17" s="6" t="s">
        <v>99</v>
      </c>
      <c r="AE17" s="8" t="s">
        <v>81</v>
      </c>
      <c r="AF17" s="474" t="str">
        <f>+W17</f>
        <v>Actas de visitas y listados de asistencias
Informe anual ( Cuando aplique)</v>
      </c>
      <c r="AG17" s="32">
        <f>IFERROR(IF(X17="Probabilidad",(I17-(+I17*AA17)),IF(X17="Impacto",I17,"")),"")</f>
        <v>0.36</v>
      </c>
      <c r="AH17" s="33" t="str">
        <f t="shared" ref="AH17:AH21" si="1">IFERROR(IF(AG17="","",IF(AG17&lt;=0.2,"Muy Baja",IF(AG17&lt;=0.4,"Baja",IF(AG17&lt;=0.6,"Media",IF(AG17&lt;=0.8,"Alta","Muy Alta"))))),"")</f>
        <v>Baja</v>
      </c>
      <c r="AI17" s="34">
        <f>I17-(AA17*I17)</f>
        <v>0.36</v>
      </c>
      <c r="AJ17" s="35" t="str">
        <f t="shared" ref="AJ17:AJ21" si="2">IFERROR(IF(AK17="","",IF(AK17&lt;=0.2,"Leve",IF(AK17&lt;=0.4,"Menor",IF(AK17&lt;=0.6,"Moderado",IF(AK17&lt;=0.8,"Mayor","Catastrófico"))))),"")</f>
        <v>Menor</v>
      </c>
      <c r="AK17" s="32">
        <f>IFERROR(IF(X17="Impacto",(M17-(+M17*AA17)),IF(X17="Probabilidad",M17,"")),"")</f>
        <v>0.4</v>
      </c>
      <c r="AL17" s="36" t="str">
        <f>+CONCATENATE(AH17, " - ", AJ17)</f>
        <v>Baja - Menor</v>
      </c>
      <c r="AM17" s="37" t="s">
        <v>147</v>
      </c>
      <c r="AN17" s="154" t="s">
        <v>82</v>
      </c>
      <c r="AO17" s="99"/>
      <c r="AP17" s="476" t="s">
        <v>138</v>
      </c>
      <c r="AQ17" s="477"/>
      <c r="AR17" s="286"/>
      <c r="AS17" s="102"/>
      <c r="AT17" s="103">
        <v>46146</v>
      </c>
      <c r="AU17" s="327" t="s">
        <v>655</v>
      </c>
      <c r="AV17" s="478" t="s">
        <v>172</v>
      </c>
      <c r="AW17" s="479" t="s">
        <v>302</v>
      </c>
      <c r="AX17" s="249" t="s">
        <v>172</v>
      </c>
      <c r="AY17" s="104"/>
      <c r="AZ17" s="480" t="s">
        <v>629</v>
      </c>
      <c r="BA17" s="464" t="s">
        <v>656</v>
      </c>
    </row>
    <row r="18" spans="1:53" ht="360.75" customHeight="1" x14ac:dyDescent="0.3">
      <c r="A18" s="163"/>
      <c r="B18" s="163"/>
      <c r="C18" s="165"/>
      <c r="D18" s="165"/>
      <c r="E18" s="165"/>
      <c r="F18" s="165"/>
      <c r="G18" s="280"/>
      <c r="H18" s="160"/>
      <c r="I18" s="157"/>
      <c r="J18" s="238"/>
      <c r="K18" s="239"/>
      <c r="L18" s="160"/>
      <c r="M18" s="157"/>
      <c r="N18" s="157"/>
      <c r="O18" s="240"/>
      <c r="P18" s="99"/>
      <c r="Q18" s="100">
        <v>2</v>
      </c>
      <c r="R18" s="71" t="s">
        <v>657</v>
      </c>
      <c r="S18" s="75" t="s">
        <v>241</v>
      </c>
      <c r="T18" s="71" t="s">
        <v>658</v>
      </c>
      <c r="U18" s="71" t="s">
        <v>659</v>
      </c>
      <c r="V18" s="71" t="s">
        <v>660</v>
      </c>
      <c r="W18" s="71" t="s">
        <v>661</v>
      </c>
      <c r="X18" s="30" t="str">
        <f>IF(OR(Y18="Preventivo",Y18="Detectivo"),"Probabilidad",IF(Y18="Correctivo","Impacto",""))</f>
        <v>Probabilidad</v>
      </c>
      <c r="Y18" s="6" t="s">
        <v>76</v>
      </c>
      <c r="Z18" s="6" t="s">
        <v>77</v>
      </c>
      <c r="AA18" s="31" t="str">
        <f t="shared" si="0"/>
        <v>40%</v>
      </c>
      <c r="AB18" s="242" t="s">
        <v>78</v>
      </c>
      <c r="AC18" s="481" t="s">
        <v>662</v>
      </c>
      <c r="AD18" s="6" t="s">
        <v>99</v>
      </c>
      <c r="AE18" s="8" t="s">
        <v>81</v>
      </c>
      <c r="AF18" s="474" t="str">
        <f>+W18</f>
        <v>Actas de visitas, listados de asistencias y formato A-GDO-FT-017
Informe anual (Cuando aplique)</v>
      </c>
      <c r="AG18" s="34">
        <f t="shared" ref="AG18:AG21" si="3">IFERROR(IF(AND(X17="Probabilidad",X18="Probabilidad"),(AI17-(+AI17*AA18)),IF(X18="Probabilidad",($I$17-(+$I$17*AA18)),IF(X18="Impacto",AI17,""))),"")</f>
        <v>0.216</v>
      </c>
      <c r="AH18" s="33" t="str">
        <f t="shared" si="1"/>
        <v>Baja</v>
      </c>
      <c r="AI18" s="34">
        <f t="shared" ref="AI18:AI21" si="4">+AG18</f>
        <v>0.216</v>
      </c>
      <c r="AJ18" s="35" t="str">
        <f t="shared" si="2"/>
        <v>Menor</v>
      </c>
      <c r="AK18" s="32">
        <f t="shared" ref="AK18:AK21" si="5">IFERROR(IF(AND(X17="Impacto",X17="Impacto"),(AK17-(+AK17*AA18)),IF(X18="Impacto",($M$17-(+$M$17*AA18)),IF(X18="Probabilidad",AK17,""))),"")</f>
        <v>0.4</v>
      </c>
      <c r="AL18" s="36" t="str">
        <f t="shared" ref="AL18:AL21" si="6">+CONCATENATE(AH18, " - ", AJ18)</f>
        <v>Baja - Menor</v>
      </c>
      <c r="AM18" s="37" t="s">
        <v>147</v>
      </c>
      <c r="AN18" s="154"/>
      <c r="AO18" s="99"/>
      <c r="AP18" s="476"/>
      <c r="AQ18" s="477"/>
      <c r="AR18" s="286"/>
      <c r="AS18" s="102"/>
      <c r="AT18" s="103">
        <v>46146</v>
      </c>
      <c r="AU18" s="327" t="s">
        <v>655</v>
      </c>
      <c r="AV18" s="478"/>
      <c r="AW18" s="479"/>
      <c r="AX18" s="249"/>
      <c r="AY18" s="104"/>
      <c r="AZ18" s="480"/>
      <c r="BA18" s="464"/>
    </row>
    <row r="19" spans="1:53" ht="353.25" customHeight="1" x14ac:dyDescent="0.3">
      <c r="A19" s="163"/>
      <c r="B19" s="163"/>
      <c r="C19" s="165"/>
      <c r="D19" s="165"/>
      <c r="E19" s="165"/>
      <c r="F19" s="165"/>
      <c r="G19" s="280"/>
      <c r="H19" s="160"/>
      <c r="I19" s="157"/>
      <c r="J19" s="238"/>
      <c r="K19" s="239"/>
      <c r="L19" s="160"/>
      <c r="M19" s="157"/>
      <c r="N19" s="157"/>
      <c r="O19" s="240"/>
      <c r="P19" s="99"/>
      <c r="Q19" s="100">
        <v>3</v>
      </c>
      <c r="R19" s="71" t="s">
        <v>663</v>
      </c>
      <c r="S19" s="75" t="s">
        <v>664</v>
      </c>
      <c r="T19" s="71" t="s">
        <v>665</v>
      </c>
      <c r="U19" s="71" t="s">
        <v>666</v>
      </c>
      <c r="V19" s="71" t="s">
        <v>667</v>
      </c>
      <c r="W19" s="71" t="s">
        <v>668</v>
      </c>
      <c r="X19" s="30" t="str">
        <f>IF(OR(Y19="Preventivo",Y19="Detectivo"),"Probabilidad",IF(Y19="Correctivo","Impacto",""))</f>
        <v>Probabilidad</v>
      </c>
      <c r="Y19" s="6" t="s">
        <v>98</v>
      </c>
      <c r="Z19" s="6" t="s">
        <v>152</v>
      </c>
      <c r="AA19" s="31" t="str">
        <f t="shared" si="0"/>
        <v>40%</v>
      </c>
      <c r="AB19" s="242" t="s">
        <v>78</v>
      </c>
      <c r="AC19" s="474" t="s">
        <v>662</v>
      </c>
      <c r="AD19" s="6" t="s">
        <v>99</v>
      </c>
      <c r="AE19" s="8" t="s">
        <v>81</v>
      </c>
      <c r="AF19" s="481" t="str">
        <f>+W19</f>
        <v>Informe trimestral.</v>
      </c>
      <c r="AG19" s="32">
        <f t="shared" si="3"/>
        <v>0.12959999999999999</v>
      </c>
      <c r="AH19" s="33" t="str">
        <f t="shared" si="1"/>
        <v>Muy Baja</v>
      </c>
      <c r="AI19" s="34">
        <f t="shared" si="4"/>
        <v>0.12959999999999999</v>
      </c>
      <c r="AJ19" s="35" t="str">
        <f t="shared" si="2"/>
        <v>Menor</v>
      </c>
      <c r="AK19" s="32">
        <f t="shared" si="5"/>
        <v>0.4</v>
      </c>
      <c r="AL19" s="36" t="str">
        <f t="shared" si="6"/>
        <v>Muy Baja - Menor</v>
      </c>
      <c r="AM19" s="37" t="s">
        <v>145</v>
      </c>
      <c r="AN19" s="154"/>
      <c r="AO19" s="99"/>
      <c r="AP19" s="476"/>
      <c r="AQ19" s="477"/>
      <c r="AR19" s="286"/>
      <c r="AS19" s="102"/>
      <c r="AT19" s="103">
        <v>46146</v>
      </c>
      <c r="AU19" s="482" t="s">
        <v>669</v>
      </c>
      <c r="AV19" s="478"/>
      <c r="AW19" s="479"/>
      <c r="AX19" s="249"/>
      <c r="AY19" s="104"/>
      <c r="AZ19" s="480"/>
      <c r="BA19" s="464"/>
    </row>
    <row r="20" spans="1:53" ht="353.25" customHeight="1" x14ac:dyDescent="0.3">
      <c r="A20" s="163"/>
      <c r="B20" s="163"/>
      <c r="C20" s="165"/>
      <c r="D20" s="165"/>
      <c r="E20" s="165"/>
      <c r="F20" s="165"/>
      <c r="G20" s="280"/>
      <c r="H20" s="160"/>
      <c r="I20" s="157"/>
      <c r="J20" s="238"/>
      <c r="K20" s="239"/>
      <c r="L20" s="160"/>
      <c r="M20" s="157"/>
      <c r="N20" s="157"/>
      <c r="O20" s="240"/>
      <c r="P20" s="99"/>
      <c r="Q20" s="100">
        <v>4</v>
      </c>
      <c r="R20" s="71" t="s">
        <v>670</v>
      </c>
      <c r="S20" s="71" t="s">
        <v>671</v>
      </c>
      <c r="T20" s="71" t="s">
        <v>672</v>
      </c>
      <c r="U20" s="71" t="s">
        <v>673</v>
      </c>
      <c r="V20" s="71" t="s">
        <v>674</v>
      </c>
      <c r="W20" s="71" t="s">
        <v>675</v>
      </c>
      <c r="X20" s="30" t="str">
        <f>IF(OR(Y20="Preventivo",Y20="Detectivo"),"Probabilidad",IF(Y20="Correctivo","Impacto",""))</f>
        <v>Probabilidad</v>
      </c>
      <c r="Y20" s="6" t="s">
        <v>76</v>
      </c>
      <c r="Z20" s="6" t="s">
        <v>77</v>
      </c>
      <c r="AA20" s="31" t="str">
        <f t="shared" si="0"/>
        <v>40%</v>
      </c>
      <c r="AB20" s="242" t="s">
        <v>78</v>
      </c>
      <c r="AC20" s="474" t="s">
        <v>676</v>
      </c>
      <c r="AD20" s="6" t="s">
        <v>99</v>
      </c>
      <c r="AE20" s="8" t="s">
        <v>81</v>
      </c>
      <c r="AF20" s="481" t="str">
        <f>+W20</f>
        <v xml:space="preserve">Formatos A-GDO-FT-014 diligenciados
Correo electrónico (Cuando aplique)
</v>
      </c>
      <c r="AG20" s="32">
        <f t="shared" si="3"/>
        <v>7.7759999999999996E-2</v>
      </c>
      <c r="AH20" s="33" t="str">
        <f t="shared" si="1"/>
        <v>Muy Baja</v>
      </c>
      <c r="AI20" s="34">
        <f t="shared" si="4"/>
        <v>7.7759999999999996E-2</v>
      </c>
      <c r="AJ20" s="35" t="str">
        <f t="shared" si="2"/>
        <v>Menor</v>
      </c>
      <c r="AK20" s="32">
        <f t="shared" si="5"/>
        <v>0.4</v>
      </c>
      <c r="AL20" s="36" t="str">
        <f t="shared" si="6"/>
        <v>Muy Baja - Menor</v>
      </c>
      <c r="AM20" s="37" t="s">
        <v>145</v>
      </c>
      <c r="AN20" s="154"/>
      <c r="AO20" s="99"/>
      <c r="AP20" s="476"/>
      <c r="AQ20" s="477"/>
      <c r="AR20" s="286"/>
      <c r="AS20" s="102"/>
      <c r="AT20" s="103">
        <v>46146</v>
      </c>
      <c r="AU20" s="327" t="s">
        <v>677</v>
      </c>
      <c r="AV20" s="478"/>
      <c r="AW20" s="479"/>
      <c r="AX20" s="249"/>
      <c r="AY20" s="104"/>
      <c r="AZ20" s="480"/>
      <c r="BA20" s="464"/>
    </row>
    <row r="21" spans="1:53" ht="353.25" customHeight="1" x14ac:dyDescent="0.3">
      <c r="A21" s="163"/>
      <c r="B21" s="163"/>
      <c r="C21" s="165"/>
      <c r="D21" s="165"/>
      <c r="E21" s="165"/>
      <c r="F21" s="165"/>
      <c r="G21" s="280"/>
      <c r="H21" s="160"/>
      <c r="I21" s="157"/>
      <c r="J21" s="238"/>
      <c r="K21" s="239"/>
      <c r="L21" s="160"/>
      <c r="M21" s="157"/>
      <c r="N21" s="157"/>
      <c r="O21" s="240"/>
      <c r="P21" s="99"/>
      <c r="Q21" s="100">
        <v>5</v>
      </c>
      <c r="R21" s="71" t="s">
        <v>678</v>
      </c>
      <c r="S21" s="71" t="s">
        <v>679</v>
      </c>
      <c r="T21" s="71" t="s">
        <v>680</v>
      </c>
      <c r="U21" s="71" t="s">
        <v>681</v>
      </c>
      <c r="V21" s="71" t="s">
        <v>682</v>
      </c>
      <c r="W21" s="71" t="s">
        <v>683</v>
      </c>
      <c r="X21" s="30" t="str">
        <f t="shared" ref="X21" si="7">IF(OR(Y21="Preventivo",Y21="Detectivo"),"Probabilidad",IF(Y21="Correctivo","Impacto",""))</f>
        <v>Impacto</v>
      </c>
      <c r="Y21" s="6" t="s">
        <v>151</v>
      </c>
      <c r="Z21" s="6" t="s">
        <v>77</v>
      </c>
      <c r="AA21" s="31" t="str">
        <f t="shared" si="0"/>
        <v>25%</v>
      </c>
      <c r="AB21" s="242" t="s">
        <v>78</v>
      </c>
      <c r="AC21" s="474" t="s">
        <v>684</v>
      </c>
      <c r="AD21" s="6" t="s">
        <v>99</v>
      </c>
      <c r="AE21" s="8" t="s">
        <v>81</v>
      </c>
      <c r="AF21" s="474" t="str">
        <f>+W21</f>
        <v>Formato Único de Inventario Documental actualizado</v>
      </c>
      <c r="AG21" s="32">
        <f t="shared" si="3"/>
        <v>7.7759999999999996E-2</v>
      </c>
      <c r="AH21" s="33" t="str">
        <f t="shared" si="1"/>
        <v>Muy Baja</v>
      </c>
      <c r="AI21" s="34">
        <f t="shared" si="4"/>
        <v>7.7759999999999996E-2</v>
      </c>
      <c r="AJ21" s="35" t="str">
        <f t="shared" si="2"/>
        <v>Menor</v>
      </c>
      <c r="AK21" s="32">
        <f t="shared" si="5"/>
        <v>0.30000000000000004</v>
      </c>
      <c r="AL21" s="36" t="str">
        <f t="shared" si="6"/>
        <v>Muy Baja - Menor</v>
      </c>
      <c r="AM21" s="37" t="s">
        <v>145</v>
      </c>
      <c r="AN21" s="154"/>
      <c r="AO21" s="99"/>
      <c r="AP21" s="476"/>
      <c r="AQ21" s="477"/>
      <c r="AR21" s="286"/>
      <c r="AS21" s="102"/>
      <c r="AT21" s="103">
        <v>46146</v>
      </c>
      <c r="AU21" s="327" t="s">
        <v>685</v>
      </c>
      <c r="AV21" s="478"/>
      <c r="AW21" s="479"/>
      <c r="AX21" s="249"/>
      <c r="AY21" s="104"/>
      <c r="AZ21" s="480"/>
      <c r="BA21" s="464"/>
    </row>
    <row r="22" spans="1:53" ht="93.75" customHeight="1" x14ac:dyDescent="0.3">
      <c r="B22" s="76"/>
      <c r="C22" s="77"/>
      <c r="D22" s="77"/>
      <c r="E22" s="77"/>
      <c r="F22" s="77"/>
      <c r="G22" s="76"/>
      <c r="H22" s="76"/>
      <c r="I22" s="78"/>
      <c r="J22" s="79"/>
      <c r="K22" s="80"/>
      <c r="L22" s="76"/>
      <c r="M22" s="78"/>
      <c r="N22" s="78"/>
      <c r="O22" s="81"/>
      <c r="P22" s="2"/>
      <c r="Q22" s="82"/>
      <c r="R22" s="22"/>
      <c r="S22" s="22"/>
      <c r="T22" s="22"/>
      <c r="U22" s="22"/>
      <c r="V22" s="22"/>
      <c r="W22" s="22"/>
      <c r="X22" s="82"/>
      <c r="Y22" s="83"/>
      <c r="Z22" s="83"/>
      <c r="AA22" s="84"/>
      <c r="AB22" s="85"/>
      <c r="AC22" s="86"/>
      <c r="AD22" s="83"/>
      <c r="AE22" s="85"/>
      <c r="AF22" s="85"/>
      <c r="AG22" s="87"/>
      <c r="AH22" s="83"/>
      <c r="AI22" s="88"/>
      <c r="AJ22" s="89"/>
      <c r="AK22" s="87"/>
      <c r="AL22" s="90"/>
      <c r="AM22" s="91"/>
      <c r="AN22" s="92"/>
      <c r="AO22" s="2"/>
      <c r="AP22" s="74"/>
      <c r="AQ22" s="74"/>
      <c r="AR22" s="74"/>
      <c r="AT22" s="45"/>
      <c r="AU22" s="46"/>
      <c r="AV22" s="47"/>
      <c r="AW22" s="48"/>
      <c r="AX22" s="49"/>
      <c r="AY22" s="27"/>
      <c r="AZ22" s="47"/>
      <c r="BA22" s="50"/>
    </row>
    <row r="23" spans="1:53" ht="20.399999999999999" x14ac:dyDescent="0.3">
      <c r="A23" s="152" t="s">
        <v>103</v>
      </c>
      <c r="B23" s="152"/>
      <c r="C23" s="152"/>
      <c r="D23" s="152"/>
      <c r="E23" s="152"/>
      <c r="F23" s="152"/>
      <c r="G23" s="152"/>
      <c r="H23" s="152"/>
      <c r="P23" s="2"/>
      <c r="BA23" s="39" t="s">
        <v>104</v>
      </c>
    </row>
    <row r="24" spans="1:53" x14ac:dyDescent="0.3">
      <c r="P24" s="2"/>
    </row>
    <row r="25" spans="1:53" s="1" customFormat="1" x14ac:dyDescent="0.3">
      <c r="A25"/>
      <c r="B25"/>
      <c r="C25"/>
      <c r="D25"/>
      <c r="E25"/>
      <c r="F25"/>
      <c r="G25"/>
      <c r="H25"/>
      <c r="I25"/>
      <c r="J25"/>
      <c r="K25"/>
      <c r="P25" s="2"/>
      <c r="AN25" s="4"/>
      <c r="AO25" s="4"/>
      <c r="AP25" s="4"/>
      <c r="AS25"/>
      <c r="AT25"/>
      <c r="AU25"/>
      <c r="AV25"/>
      <c r="AW25"/>
      <c r="AX25"/>
      <c r="AY25"/>
      <c r="AZ25"/>
      <c r="BA25"/>
    </row>
    <row r="26" spans="1:53" s="1" customFormat="1" x14ac:dyDescent="0.3">
      <c r="A26"/>
      <c r="B26"/>
      <c r="C26"/>
      <c r="D26"/>
      <c r="E26"/>
      <c r="F26"/>
      <c r="G26"/>
      <c r="H26"/>
      <c r="I26"/>
      <c r="J26"/>
      <c r="K26"/>
      <c r="P26" s="2"/>
      <c r="AN26" s="4"/>
      <c r="AO26" s="4"/>
      <c r="AP26" s="4"/>
      <c r="AS26"/>
      <c r="AT26"/>
      <c r="AU26"/>
      <c r="AV26"/>
      <c r="AW26"/>
      <c r="AX26"/>
      <c r="AY26"/>
      <c r="AZ26"/>
      <c r="BA26"/>
    </row>
    <row r="27" spans="1:53" s="1" customFormat="1" x14ac:dyDescent="0.3">
      <c r="A27"/>
      <c r="B27"/>
      <c r="C27"/>
      <c r="D27"/>
      <c r="E27"/>
      <c r="F27"/>
      <c r="G27"/>
      <c r="H27"/>
      <c r="I27"/>
      <c r="J27"/>
      <c r="K27"/>
      <c r="P27" s="2"/>
      <c r="AN27" s="4"/>
      <c r="AO27" s="4"/>
      <c r="AP27" s="4"/>
      <c r="AS27"/>
      <c r="AT27"/>
      <c r="AU27"/>
      <c r="AV27"/>
      <c r="AW27"/>
      <c r="AX27"/>
      <c r="AY27"/>
      <c r="AZ27"/>
      <c r="BA27"/>
    </row>
    <row r="28" spans="1:53" s="1" customFormat="1" x14ac:dyDescent="0.3">
      <c r="A28"/>
      <c r="B28"/>
      <c r="C28"/>
      <c r="D28"/>
      <c r="E28"/>
      <c r="F28"/>
      <c r="G28"/>
      <c r="H28"/>
      <c r="I28"/>
      <c r="J28"/>
      <c r="K28"/>
      <c r="P28" s="2"/>
      <c r="AN28" s="4"/>
      <c r="AO28" s="4"/>
      <c r="AP28" s="4"/>
      <c r="AS28"/>
      <c r="AT28"/>
      <c r="AU28"/>
      <c r="AV28"/>
      <c r="AW28"/>
      <c r="AX28"/>
      <c r="AY28"/>
      <c r="AZ28"/>
      <c r="BA28"/>
    </row>
    <row r="29" spans="1:53" s="1" customFormat="1" x14ac:dyDescent="0.3">
      <c r="A29"/>
      <c r="B29"/>
      <c r="C29"/>
      <c r="D29"/>
      <c r="E29"/>
      <c r="F29"/>
      <c r="G29"/>
      <c r="H29"/>
      <c r="I29"/>
      <c r="J29"/>
      <c r="K29"/>
      <c r="P29" s="2"/>
      <c r="AN29" s="4"/>
      <c r="AO29" s="4"/>
      <c r="AP29" s="4"/>
      <c r="AS29"/>
      <c r="AT29"/>
      <c r="AU29"/>
      <c r="AV29"/>
      <c r="AW29"/>
      <c r="AX29"/>
      <c r="AY29"/>
      <c r="AZ29"/>
      <c r="BA29"/>
    </row>
    <row r="30" spans="1:53" s="1" customFormat="1" x14ac:dyDescent="0.3">
      <c r="A30"/>
      <c r="B30"/>
      <c r="C30"/>
      <c r="D30"/>
      <c r="E30"/>
      <c r="F30"/>
      <c r="G30"/>
      <c r="H30"/>
      <c r="I30"/>
      <c r="J30"/>
      <c r="K30"/>
      <c r="P30" s="2"/>
      <c r="AN30" s="4"/>
      <c r="AO30" s="4"/>
      <c r="AP30" s="4"/>
      <c r="AS30"/>
      <c r="AT30"/>
      <c r="AU30"/>
      <c r="AV30"/>
      <c r="AW30"/>
      <c r="AX30"/>
      <c r="AY30"/>
      <c r="AZ30"/>
      <c r="BA30"/>
    </row>
    <row r="31" spans="1:53" s="1" customFormat="1" x14ac:dyDescent="0.3">
      <c r="A31"/>
      <c r="B31"/>
      <c r="C31"/>
      <c r="D31"/>
      <c r="E31"/>
      <c r="F31"/>
      <c r="G31"/>
      <c r="H31"/>
      <c r="I31"/>
      <c r="J31"/>
      <c r="K31"/>
      <c r="P31" s="2"/>
      <c r="AN31" s="4"/>
      <c r="AO31" s="4"/>
      <c r="AP31" s="4"/>
      <c r="AS31"/>
      <c r="AT31"/>
      <c r="AU31"/>
      <c r="AV31"/>
      <c r="AW31"/>
      <c r="AX31"/>
      <c r="AY31"/>
      <c r="AZ31"/>
      <c r="BA31"/>
    </row>
  </sheetData>
  <mergeCells count="52">
    <mergeCell ref="AW17:AW21"/>
    <mergeCell ref="AX17:AX21"/>
    <mergeCell ref="AZ17:AZ21"/>
    <mergeCell ref="BA17:BA21"/>
    <mergeCell ref="A23:H23"/>
    <mergeCell ref="O17:O21"/>
    <mergeCell ref="AN17:AN21"/>
    <mergeCell ref="AP17:AP21"/>
    <mergeCell ref="AQ17:AQ21"/>
    <mergeCell ref="AR17:AR21"/>
    <mergeCell ref="AV17:AV21"/>
    <mergeCell ref="I17:I21"/>
    <mergeCell ref="J17:J21"/>
    <mergeCell ref="K17:K21"/>
    <mergeCell ref="L17:L21"/>
    <mergeCell ref="M17:M21"/>
    <mergeCell ref="N17:N21"/>
    <mergeCell ref="AB16:AC16"/>
    <mergeCell ref="AE16:AF16"/>
    <mergeCell ref="A17:A21"/>
    <mergeCell ref="B17:B21"/>
    <mergeCell ref="C17:C21"/>
    <mergeCell ref="D17:D21"/>
    <mergeCell ref="E17:E21"/>
    <mergeCell ref="F17:F21"/>
    <mergeCell ref="G17:G21"/>
    <mergeCell ref="H17:H21"/>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22">
    <cfRule type="cellIs" dxfId="123" priority="24" operator="equal">
      <formula>"Muy Alta"</formula>
    </cfRule>
    <cfRule type="cellIs" dxfId="122" priority="25" operator="equal">
      <formula>"Alta"</formula>
    </cfRule>
    <cfRule type="cellIs" dxfId="121" priority="26" operator="equal">
      <formula>"Media"</formula>
    </cfRule>
    <cfRule type="cellIs" dxfId="120" priority="27" operator="equal">
      <formula>"Muy Baja"</formula>
    </cfRule>
    <cfRule type="cellIs" dxfId="119" priority="28" operator="equal">
      <formula>"Baja"</formula>
    </cfRule>
  </conditionalFormatting>
  <conditionalFormatting sqref="L17:L22">
    <cfRule type="cellIs" dxfId="118" priority="19" operator="equal">
      <formula>"Leve"</formula>
    </cfRule>
    <cfRule type="cellIs" dxfId="117" priority="20" operator="equal">
      <formula>"Catastrófico"</formula>
    </cfRule>
    <cfRule type="cellIs" dxfId="116" priority="21" operator="equal">
      <formula>"Mayor"</formula>
    </cfRule>
    <cfRule type="cellIs" dxfId="115" priority="22" operator="equal">
      <formula>"Moderado"</formula>
    </cfRule>
    <cfRule type="cellIs" dxfId="114" priority="23" operator="equal">
      <formula>"Menor"</formula>
    </cfRule>
  </conditionalFormatting>
  <conditionalFormatting sqref="O17:O22">
    <cfRule type="cellIs" dxfId="113" priority="15" operator="equal">
      <formula>"EXTREMO"</formula>
    </cfRule>
    <cfRule type="cellIs" dxfId="112" priority="16" operator="equal">
      <formula>"ALTO"</formula>
    </cfRule>
    <cfRule type="cellIs" dxfId="111" priority="17" operator="equal">
      <formula>"BAJO"</formula>
    </cfRule>
    <cfRule type="cellIs" dxfId="110" priority="18" operator="equal">
      <formula>"MODERADO"</formula>
    </cfRule>
  </conditionalFormatting>
  <conditionalFormatting sqref="AH17:AH22">
    <cfRule type="cellIs" dxfId="109" priority="6" operator="equal">
      <formula>"Muy Baja"</formula>
    </cfRule>
    <cfRule type="cellIs" dxfId="108" priority="7" operator="equal">
      <formula>"Baja"</formula>
    </cfRule>
    <cfRule type="cellIs" dxfId="107" priority="8" operator="equal">
      <formula>"Media"</formula>
    </cfRule>
    <cfRule type="cellIs" dxfId="106" priority="9" operator="equal">
      <formula>"Muy Alta"</formula>
    </cfRule>
    <cfRule type="cellIs" dxfId="105" priority="10" operator="equal">
      <formula>"Alta"</formula>
    </cfRule>
  </conditionalFormatting>
  <conditionalFormatting sqref="AJ17:AJ22">
    <cfRule type="cellIs" dxfId="104" priority="1" operator="equal">
      <formula>"Catastrófico"</formula>
    </cfRule>
    <cfRule type="cellIs" dxfId="103" priority="2" operator="equal">
      <formula>"Mayor"</formula>
    </cfRule>
    <cfRule type="cellIs" dxfId="102" priority="3" operator="equal">
      <formula>"Moderado"</formula>
    </cfRule>
    <cfRule type="cellIs" dxfId="101" priority="4" operator="equal">
      <formula>"Menor"</formula>
    </cfRule>
    <cfRule type="cellIs" dxfId="100" priority="5" operator="equal">
      <formula>"Leve"</formula>
    </cfRule>
  </conditionalFormatting>
  <conditionalFormatting sqref="AM17:AM22">
    <cfRule type="cellIs" dxfId="99" priority="11" operator="equal">
      <formula>"EXTREMO"</formula>
    </cfRule>
    <cfRule type="cellIs" dxfId="98" priority="12" operator="equal">
      <formula>"ALTO"</formula>
    </cfRule>
    <cfRule type="cellIs" dxfId="97" priority="13" operator="equal">
      <formula>"BAJO"</formula>
    </cfRule>
    <cfRule type="cellIs" dxfId="96" priority="14" operator="equal">
      <formula>"MODERADO"</formula>
    </cfRule>
  </conditionalFormatting>
  <hyperlinks>
    <hyperlink ref="A14:O15" location="Instructivo!A1" display="IDENTIFICACIÓN DEL RIESGO" xr:uid="{115E8815-356F-4A15-BE99-73DB0E596D6C}"/>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419B4-726B-412E-A57A-0F00FCC93AE0}">
  <sheetPr>
    <tabColor theme="0"/>
    <pageSetUpPr fitToPage="1"/>
  </sheetPr>
  <dimension ref="A1:BA27"/>
  <sheetViews>
    <sheetView showGridLines="0" view="pageBreakPreview" topLeftCell="AK1" zoomScale="60" zoomScaleNormal="60" workbookViewId="0">
      <selection activeCell="AW16" sqref="AW16"/>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88671875" customWidth="1"/>
    <col min="12" max="12" width="20.109375"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23" width="46.6640625" style="1" customWidth="1"/>
    <col min="24" max="24" width="15.88671875" style="1" customWidth="1"/>
    <col min="25" max="27" width="10.33203125" style="1" customWidth="1"/>
    <col min="28" max="28" width="6" style="1" customWidth="1"/>
    <col min="29" max="29" width="13.6640625" style="1" customWidth="1"/>
    <col min="30" max="30" width="7.5546875" style="1" customWidth="1"/>
    <col min="31" max="31" width="5.6640625" style="1" customWidth="1"/>
    <col min="32" max="32" width="40.109375"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5546875" style="4" customWidth="1"/>
    <col min="41" max="41" width="1" style="4" customWidth="1"/>
    <col min="42" max="42" width="26.88671875" style="4" customWidth="1"/>
    <col min="43" max="43" width="26.6640625" style="1" customWidth="1"/>
    <col min="44" max="44" width="20.88671875" style="1" customWidth="1"/>
    <col min="45" max="45" width="1" customWidth="1"/>
    <col min="46" max="46" width="18.33203125" customWidth="1"/>
    <col min="47" max="50" width="45" customWidth="1"/>
    <col min="51" max="51" width="1" customWidth="1"/>
    <col min="52" max="53" width="4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4</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399999999999999"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126</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45828</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29" t="s">
        <v>610</v>
      </c>
      <c r="E10" s="230"/>
      <c r="F10" s="230"/>
      <c r="G10" s="230"/>
      <c r="H10" s="230"/>
      <c r="I10" s="230"/>
      <c r="J10" s="230"/>
      <c r="K10" s="230"/>
      <c r="L10" s="230"/>
      <c r="M10" s="231"/>
      <c r="N10" s="21"/>
      <c r="AN10" s="1"/>
      <c r="AO10" s="1"/>
      <c r="AP10" s="1"/>
    </row>
    <row r="11" spans="1:53" s="3" customFormat="1" ht="75" customHeight="1" x14ac:dyDescent="0.3">
      <c r="A11" s="194" t="s">
        <v>11</v>
      </c>
      <c r="B11" s="194"/>
      <c r="C11" s="194"/>
      <c r="D11" s="233" t="s">
        <v>611</v>
      </c>
      <c r="E11" s="234"/>
      <c r="F11" s="234"/>
      <c r="G11" s="234"/>
      <c r="H11" s="234"/>
      <c r="I11" s="234"/>
      <c r="J11" s="234"/>
      <c r="K11" s="234"/>
      <c r="L11" s="234"/>
      <c r="M11" s="235"/>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94" t="s">
        <v>13</v>
      </c>
      <c r="B12" s="194"/>
      <c r="C12" s="194"/>
      <c r="D12" s="233" t="s">
        <v>612</v>
      </c>
      <c r="E12" s="234"/>
      <c r="F12" s="234"/>
      <c r="G12" s="234"/>
      <c r="H12" s="234"/>
      <c r="I12" s="234"/>
      <c r="J12" s="234"/>
      <c r="K12" s="234"/>
      <c r="L12" s="234"/>
      <c r="M12" s="235"/>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66" t="s">
        <v>15</v>
      </c>
      <c r="B14" s="167"/>
      <c r="C14" s="167"/>
      <c r="D14" s="167"/>
      <c r="E14" s="167"/>
      <c r="F14" s="167"/>
      <c r="G14" s="167"/>
      <c r="H14" s="167"/>
      <c r="I14" s="167"/>
      <c r="J14" s="167"/>
      <c r="K14" s="167"/>
      <c r="L14" s="167"/>
      <c r="M14" s="167"/>
      <c r="N14" s="168"/>
      <c r="O14" s="169"/>
      <c r="P14" s="2"/>
      <c r="Q14" s="174" t="s">
        <v>16</v>
      </c>
      <c r="R14" s="175"/>
      <c r="S14" s="175"/>
      <c r="T14" s="175"/>
      <c r="U14" s="175"/>
      <c r="V14" s="175"/>
      <c r="W14" s="175"/>
      <c r="X14" s="175"/>
      <c r="Y14" s="176"/>
      <c r="Z14" s="176"/>
      <c r="AA14" s="176"/>
      <c r="AB14" s="176"/>
      <c r="AC14" s="176"/>
      <c r="AD14" s="176"/>
      <c r="AE14" s="176"/>
      <c r="AF14" s="175"/>
      <c r="AG14" s="175"/>
      <c r="AH14" s="175"/>
      <c r="AI14" s="175"/>
      <c r="AJ14" s="175"/>
      <c r="AK14" s="175"/>
      <c r="AL14" s="175"/>
      <c r="AM14" s="175"/>
      <c r="AN14" s="177"/>
      <c r="AO14" s="2"/>
      <c r="AP14" s="178" t="s">
        <v>17</v>
      </c>
      <c r="AQ14" s="179"/>
      <c r="AR14" s="180"/>
      <c r="AT14" s="184" t="s">
        <v>18</v>
      </c>
      <c r="AU14" s="185"/>
      <c r="AV14" s="185"/>
      <c r="AW14" s="185"/>
      <c r="AX14" s="186"/>
      <c r="AY14" s="27"/>
      <c r="AZ14" s="178" t="s">
        <v>19</v>
      </c>
      <c r="BA14" s="180"/>
    </row>
    <row r="15" spans="1:53" x14ac:dyDescent="0.3">
      <c r="A15" s="170"/>
      <c r="B15" s="171"/>
      <c r="C15" s="171"/>
      <c r="D15" s="171"/>
      <c r="E15" s="171"/>
      <c r="F15" s="171"/>
      <c r="G15" s="171"/>
      <c r="H15" s="171"/>
      <c r="I15" s="171"/>
      <c r="J15" s="171"/>
      <c r="K15" s="171"/>
      <c r="L15" s="171"/>
      <c r="M15" s="171"/>
      <c r="N15" s="172"/>
      <c r="O15" s="173"/>
      <c r="P15" s="2"/>
      <c r="Q15" s="23"/>
      <c r="R15" s="24"/>
      <c r="S15" s="24"/>
      <c r="T15" s="24"/>
      <c r="U15" s="24"/>
      <c r="V15" s="24"/>
      <c r="W15" s="24"/>
      <c r="X15" s="24"/>
      <c r="Y15" s="189" t="s">
        <v>20</v>
      </c>
      <c r="Z15" s="190"/>
      <c r="AA15" s="191"/>
      <c r="AB15" s="189" t="s">
        <v>21</v>
      </c>
      <c r="AC15" s="190"/>
      <c r="AD15" s="190"/>
      <c r="AE15" s="190"/>
      <c r="AF15" s="191"/>
      <c r="AG15" s="192"/>
      <c r="AH15" s="192"/>
      <c r="AI15" s="192"/>
      <c r="AJ15" s="192"/>
      <c r="AK15" s="192"/>
      <c r="AL15" s="192"/>
      <c r="AM15" s="192"/>
      <c r="AN15" s="193"/>
      <c r="AO15" s="2"/>
      <c r="AP15" s="181"/>
      <c r="AQ15" s="182"/>
      <c r="AR15" s="183"/>
      <c r="AT15" s="187"/>
      <c r="AU15" s="182"/>
      <c r="AV15" s="182"/>
      <c r="AW15" s="182"/>
      <c r="AX15" s="188"/>
      <c r="AY15" s="27"/>
      <c r="AZ15" s="181"/>
      <c r="BA15" s="183"/>
    </row>
    <row r="16" spans="1:53" s="5" customFormat="1" ht="166.5" customHeight="1" x14ac:dyDescent="0.3">
      <c r="A16" s="9" t="s">
        <v>22</v>
      </c>
      <c r="B16" s="10" t="s">
        <v>23</v>
      </c>
      <c r="C16" s="11" t="s">
        <v>24</v>
      </c>
      <c r="D16" s="11" t="s">
        <v>25</v>
      </c>
      <c r="E16" s="12" t="s">
        <v>26</v>
      </c>
      <c r="F16" s="19" t="s">
        <v>27</v>
      </c>
      <c r="G16" s="29" t="s">
        <v>28</v>
      </c>
      <c r="H16" s="12" t="s">
        <v>29</v>
      </c>
      <c r="I16" s="11" t="s">
        <v>30</v>
      </c>
      <c r="J16" s="11" t="s">
        <v>31</v>
      </c>
      <c r="K16" s="12" t="s">
        <v>32</v>
      </c>
      <c r="L16" s="12" t="s">
        <v>33</v>
      </c>
      <c r="M16" s="11" t="s">
        <v>30</v>
      </c>
      <c r="N16" s="11" t="s">
        <v>34</v>
      </c>
      <c r="O16" s="13" t="s">
        <v>35</v>
      </c>
      <c r="P16" s="2"/>
      <c r="Q16" s="14" t="s">
        <v>36</v>
      </c>
      <c r="R16" s="95" t="s">
        <v>37</v>
      </c>
      <c r="S16" s="95" t="s">
        <v>38</v>
      </c>
      <c r="T16" s="95" t="s">
        <v>39</v>
      </c>
      <c r="U16" s="95" t="s">
        <v>40</v>
      </c>
      <c r="V16" s="95" t="s">
        <v>41</v>
      </c>
      <c r="W16" s="95" t="s">
        <v>42</v>
      </c>
      <c r="X16" s="25" t="s">
        <v>43</v>
      </c>
      <c r="Y16" s="44" t="s">
        <v>44</v>
      </c>
      <c r="Z16" s="44" t="s">
        <v>45</v>
      </c>
      <c r="AA16" s="16" t="s">
        <v>46</v>
      </c>
      <c r="AB16" s="161" t="s">
        <v>47</v>
      </c>
      <c r="AC16" s="162"/>
      <c r="AD16" s="16" t="s">
        <v>48</v>
      </c>
      <c r="AE16" s="161" t="s">
        <v>49</v>
      </c>
      <c r="AF16" s="162"/>
      <c r="AG16" s="17" t="s">
        <v>50</v>
      </c>
      <c r="AH16" s="17" t="s">
        <v>51</v>
      </c>
      <c r="AI16" s="17" t="s">
        <v>30</v>
      </c>
      <c r="AJ16" s="17" t="s">
        <v>52</v>
      </c>
      <c r="AK16" s="17" t="s">
        <v>30</v>
      </c>
      <c r="AL16" s="17" t="s">
        <v>34</v>
      </c>
      <c r="AM16" s="17" t="s">
        <v>53</v>
      </c>
      <c r="AN16" s="13" t="s">
        <v>54</v>
      </c>
      <c r="AO16" s="2"/>
      <c r="AP16" s="18" t="s">
        <v>55</v>
      </c>
      <c r="AQ16" s="15" t="s">
        <v>56</v>
      </c>
      <c r="AR16" s="26" t="s">
        <v>57</v>
      </c>
      <c r="AT16" s="40" t="s">
        <v>58</v>
      </c>
      <c r="AU16" s="42" t="s">
        <v>59</v>
      </c>
      <c r="AV16" s="42" t="s">
        <v>60</v>
      </c>
      <c r="AW16" s="42" t="s">
        <v>61</v>
      </c>
      <c r="AX16" s="41" t="s">
        <v>62</v>
      </c>
      <c r="AY16" s="28"/>
      <c r="AZ16" s="43" t="s">
        <v>63</v>
      </c>
      <c r="BA16" s="96" t="s">
        <v>64</v>
      </c>
    </row>
    <row r="17" spans="1:53" ht="353.25" customHeight="1" x14ac:dyDescent="0.3">
      <c r="A17" s="72">
        <v>3</v>
      </c>
      <c r="B17" s="309" t="s">
        <v>65</v>
      </c>
      <c r="C17" s="105" t="s">
        <v>686</v>
      </c>
      <c r="D17" s="105" t="s">
        <v>687</v>
      </c>
      <c r="E17" s="105" t="s">
        <v>688</v>
      </c>
      <c r="F17" s="105"/>
      <c r="G17" s="93">
        <v>7</v>
      </c>
      <c r="H17" s="106" t="str">
        <f>IF(G17&lt;=0,"",IF(G17&lt;=2,"Muy Baja",IF(G17&lt;=24,"Baja",IF(G17&lt;=500,"Media",IF(G17&lt;=5000,"Alta","Muy Alta")))))</f>
        <v>Baja</v>
      </c>
      <c r="I17" s="107">
        <f>IF(H17="","",IF(H17="Muy Baja",0.2,IF(H17="Baja",0.4,IF(H17="Media",0.6,IF(H17="Alta",0.8,IF(H17="Muy Alta",1,))))))</f>
        <v>0.4</v>
      </c>
      <c r="J17" s="108" t="s">
        <v>149</v>
      </c>
      <c r="K17" s="310" t="str">
        <f>+J17</f>
        <v>El riesgo afecta la imagen de la entidad internamente, de conocimiento general nivel interno, de junta directiva y/o de proveedores</v>
      </c>
      <c r="L17" s="106" t="str">
        <f>+VLOOKUP(K17,[6]Datos!$O$4:$P$15,2,FALSE)</f>
        <v>Menor</v>
      </c>
      <c r="M17" s="107">
        <f>IF(L17="","",IF(L17="Leve",0.2,IF(L17="Menor",0.4,IF(L17="Moderado",0.6,IF(L17="Mayor",0.8,IF(L17="Catastrófico",1,))))))</f>
        <v>0.4</v>
      </c>
      <c r="N17" s="107" t="str">
        <f>+CONCATENATE(H17, " - ", L17)</f>
        <v>Baja - Menor</v>
      </c>
      <c r="O17" s="98" t="str">
        <f>+VLOOKUP(N17,[6]Datos!J4:K28,2,)</f>
        <v>MODERADO</v>
      </c>
      <c r="P17" s="483"/>
      <c r="Q17" s="100">
        <v>1</v>
      </c>
      <c r="R17" s="71" t="s">
        <v>689</v>
      </c>
      <c r="S17" s="71" t="s">
        <v>591</v>
      </c>
      <c r="T17" s="71" t="s">
        <v>690</v>
      </c>
      <c r="U17" s="71" t="s">
        <v>691</v>
      </c>
      <c r="V17" s="71" t="s">
        <v>692</v>
      </c>
      <c r="W17" s="71" t="s">
        <v>693</v>
      </c>
      <c r="X17" s="30" t="str">
        <f>IF(OR(Y17="Preventivo",Y17="Detectivo"),"Probabilidad",IF(Y17="Correctivo","Impacto",""))</f>
        <v>Probabilidad</v>
      </c>
      <c r="Y17" s="6" t="s">
        <v>98</v>
      </c>
      <c r="Z17" s="6" t="s">
        <v>77</v>
      </c>
      <c r="AA17" s="31" t="str">
        <f t="shared" ref="AA17" si="0">IF(AND(Y17="Preventivo",Z17="Automático"),"50%",IF(AND(Y17="Preventivo",Z17="Manual"),"40%",IF(AND(Y17="Detectivo",Z17="Automático"),"40%",IF(AND(Y17="Detectivo",Z17="Manual"),"30%",IF(AND(Y17="Correctivo",Z17="Automático"),"35%",IF(AND(Y17="Correctivo",Z17="Manual"),"25%",""))))))</f>
        <v>30%</v>
      </c>
      <c r="AB17" s="242" t="s">
        <v>78</v>
      </c>
      <c r="AC17" s="242" t="s">
        <v>694</v>
      </c>
      <c r="AD17" s="6" t="s">
        <v>99</v>
      </c>
      <c r="AE17" s="8" t="s">
        <v>81</v>
      </c>
      <c r="AF17" s="8" t="str">
        <f t="shared" ref="AF17" si="1">+W17</f>
        <v xml:space="preserve">Acta de reunión /  Instrumento archivístico actualizado y aprobado por el CIGD </v>
      </c>
      <c r="AG17" s="32">
        <f>IFERROR(IF(X17="Probabilidad",(I17-(+I17*AA17)),IF(X17="Impacto",I17,"")),"")</f>
        <v>0.28000000000000003</v>
      </c>
      <c r="AH17" s="33" t="str">
        <f t="shared" ref="AH17" si="2">IFERROR(IF(AG17="","",IF(AG17&lt;=0.2,"Muy Baja",IF(AG17&lt;=0.4,"Baja",IF(AG17&lt;=0.6,"Media",IF(AG17&lt;=0.8,"Alta","Muy Alta"))))),"")</f>
        <v>Baja</v>
      </c>
      <c r="AI17" s="34">
        <f>I17-(AA17*I17)</f>
        <v>0.28000000000000003</v>
      </c>
      <c r="AJ17" s="35" t="str">
        <f t="shared" ref="AJ17" si="3">IFERROR(IF(AK17="","",IF(AK17&lt;=0.2,"Leve",IF(AK17&lt;=0.4,"Menor",IF(AK17&lt;=0.6,"Moderado",IF(AK17&lt;=0.8,"Mayor","Catastrófico"))))),"")</f>
        <v>Menor</v>
      </c>
      <c r="AK17" s="32">
        <f>IFERROR(IF(X17="Impacto",(M17-(+M17*AA17)),IF(X17="Probabilidad",M17,"")),"")</f>
        <v>0.4</v>
      </c>
      <c r="AL17" s="36" t="str">
        <f>+CONCATENATE(AH17, " - ", AJ17)</f>
        <v>Baja - Menor</v>
      </c>
      <c r="AM17" s="37" t="str">
        <f>+VLOOKUP(AL17,[6]Datos!$J$4:$K$28,2,)</f>
        <v>MODERADO</v>
      </c>
      <c r="AN17" s="101" t="s">
        <v>82</v>
      </c>
      <c r="AO17" s="99"/>
      <c r="AP17" s="75" t="s">
        <v>695</v>
      </c>
      <c r="AQ17" s="311" t="s">
        <v>625</v>
      </c>
      <c r="AR17" s="148" t="s">
        <v>696</v>
      </c>
      <c r="AS17" s="102"/>
      <c r="AT17" s="103">
        <v>46146</v>
      </c>
      <c r="AU17" s="327" t="s">
        <v>697</v>
      </c>
      <c r="AV17" s="327" t="s">
        <v>698</v>
      </c>
      <c r="AW17" s="451" t="s">
        <v>699</v>
      </c>
      <c r="AX17" s="140" t="s">
        <v>172</v>
      </c>
      <c r="AY17" s="104"/>
      <c r="AZ17" s="446" t="s">
        <v>700</v>
      </c>
      <c r="BA17" s="484" t="s">
        <v>701</v>
      </c>
    </row>
    <row r="18" spans="1:53" ht="93.75" customHeight="1" x14ac:dyDescent="0.3">
      <c r="B18" s="76"/>
      <c r="C18" s="77"/>
      <c r="D18" s="77"/>
      <c r="E18" s="77"/>
      <c r="F18" s="77"/>
      <c r="G18" s="76"/>
      <c r="H18" s="455"/>
      <c r="I18" s="456"/>
      <c r="J18" s="79"/>
      <c r="K18" s="457"/>
      <c r="L18" s="455"/>
      <c r="M18" s="456"/>
      <c r="N18" s="456"/>
      <c r="O18" s="458"/>
      <c r="P18" s="2"/>
      <c r="Q18" s="82"/>
      <c r="R18" s="22"/>
      <c r="S18" s="22"/>
      <c r="T18" s="22"/>
      <c r="U18" s="22"/>
      <c r="V18" s="22"/>
      <c r="W18" s="22"/>
      <c r="X18" s="82"/>
      <c r="Y18" s="83"/>
      <c r="Z18" s="83"/>
      <c r="AA18" s="84"/>
      <c r="AB18" s="85"/>
      <c r="AC18" s="86"/>
      <c r="AD18" s="83"/>
      <c r="AE18" s="85"/>
      <c r="AF18" s="85"/>
      <c r="AG18" s="87"/>
      <c r="AH18" s="83"/>
      <c r="AI18" s="88"/>
      <c r="AJ18" s="89"/>
      <c r="AK18" s="87"/>
      <c r="AL18" s="90"/>
      <c r="AM18" s="91"/>
      <c r="AN18" s="92"/>
      <c r="AO18" s="2"/>
      <c r="AP18" s="74"/>
      <c r="AQ18" s="74"/>
      <c r="AR18" s="74"/>
      <c r="AT18" s="45"/>
      <c r="AU18" s="46"/>
      <c r="AV18" s="47"/>
      <c r="AW18" s="48"/>
      <c r="AX18" s="49"/>
      <c r="AY18" s="27"/>
      <c r="AZ18" s="47"/>
      <c r="BA18" s="50"/>
    </row>
    <row r="19" spans="1:53" ht="20.399999999999999" x14ac:dyDescent="0.3">
      <c r="A19" s="152" t="s">
        <v>103</v>
      </c>
      <c r="B19" s="152"/>
      <c r="C19" s="152"/>
      <c r="D19" s="152"/>
      <c r="E19" s="152"/>
      <c r="F19" s="152"/>
      <c r="G19" s="152"/>
      <c r="H19" s="152"/>
      <c r="P19" s="2"/>
      <c r="BA19" s="39" t="s">
        <v>104</v>
      </c>
    </row>
    <row r="20" spans="1:53" x14ac:dyDescent="0.3">
      <c r="P20" s="2"/>
    </row>
    <row r="21" spans="1:53" s="1" customFormat="1" x14ac:dyDescent="0.3">
      <c r="A21"/>
      <c r="B21"/>
      <c r="C21"/>
      <c r="D21"/>
      <c r="E21"/>
      <c r="F21"/>
      <c r="G21"/>
      <c r="H21"/>
      <c r="I21"/>
      <c r="J21"/>
      <c r="K21"/>
      <c r="P21" s="2"/>
      <c r="AN21" s="4"/>
      <c r="AO21" s="4"/>
      <c r="AP21" s="4"/>
      <c r="AS21"/>
      <c r="AT21"/>
      <c r="AU21"/>
      <c r="AV21"/>
      <c r="AW21"/>
      <c r="AX21"/>
      <c r="AY21"/>
      <c r="AZ21"/>
      <c r="BA21"/>
    </row>
    <row r="22" spans="1:53" s="1" customFormat="1" x14ac:dyDescent="0.3">
      <c r="A22"/>
      <c r="B22"/>
      <c r="C22"/>
      <c r="D22"/>
      <c r="E22"/>
      <c r="F22"/>
      <c r="G22"/>
      <c r="H22"/>
      <c r="I22"/>
      <c r="J22"/>
      <c r="K22"/>
      <c r="P22" s="2"/>
      <c r="AN22" s="4"/>
      <c r="AO22" s="4"/>
      <c r="AP22" s="4"/>
      <c r="AS22"/>
      <c r="AT22"/>
      <c r="AU22"/>
      <c r="AV22"/>
      <c r="AW22"/>
      <c r="AX22"/>
      <c r="AY22"/>
      <c r="AZ22"/>
      <c r="BA22"/>
    </row>
    <row r="23" spans="1:53" s="1" customFormat="1" x14ac:dyDescent="0.3">
      <c r="A23"/>
      <c r="B23"/>
      <c r="C23"/>
      <c r="D23"/>
      <c r="E23"/>
      <c r="F23"/>
      <c r="G23"/>
      <c r="H23"/>
      <c r="I23"/>
      <c r="J23"/>
      <c r="K23"/>
      <c r="P23" s="2"/>
      <c r="AN23" s="4"/>
      <c r="AO23" s="4"/>
      <c r="AP23" s="4"/>
      <c r="AS23"/>
      <c r="AT23"/>
      <c r="AU23"/>
      <c r="AV23"/>
      <c r="AW23"/>
      <c r="AX23"/>
      <c r="AY23"/>
      <c r="AZ23"/>
      <c r="BA23"/>
    </row>
    <row r="24" spans="1:53" s="1" customFormat="1" x14ac:dyDescent="0.3">
      <c r="A24"/>
      <c r="B24"/>
      <c r="C24"/>
      <c r="D24"/>
      <c r="E24"/>
      <c r="F24"/>
      <c r="G24"/>
      <c r="H24"/>
      <c r="I24"/>
      <c r="J24"/>
      <c r="K24"/>
      <c r="P24" s="2"/>
      <c r="AN24" s="4"/>
      <c r="AO24" s="4"/>
      <c r="AP24" s="4"/>
      <c r="AS24"/>
      <c r="AT24"/>
      <c r="AU24"/>
      <c r="AV24"/>
      <c r="AW24"/>
      <c r="AX24"/>
      <c r="AY24"/>
      <c r="AZ24"/>
      <c r="BA24"/>
    </row>
    <row r="25" spans="1:53" s="1" customFormat="1" x14ac:dyDescent="0.3">
      <c r="A25"/>
      <c r="B25"/>
      <c r="C25"/>
      <c r="D25"/>
      <c r="E25"/>
      <c r="F25"/>
      <c r="G25"/>
      <c r="H25"/>
      <c r="I25"/>
      <c r="J25"/>
      <c r="K25"/>
      <c r="P25" s="2"/>
      <c r="AN25" s="4"/>
      <c r="AO25" s="4"/>
      <c r="AP25" s="4"/>
      <c r="AS25"/>
      <c r="AT25"/>
      <c r="AU25"/>
      <c r="AV25"/>
      <c r="AW25"/>
      <c r="AX25"/>
      <c r="AY25"/>
      <c r="AZ25"/>
      <c r="BA25"/>
    </row>
    <row r="26" spans="1:53" s="1" customFormat="1" x14ac:dyDescent="0.3">
      <c r="A26"/>
      <c r="B26"/>
      <c r="C26"/>
      <c r="D26"/>
      <c r="E26"/>
      <c r="F26"/>
      <c r="G26"/>
      <c r="H26"/>
      <c r="I26"/>
      <c r="J26"/>
      <c r="K26"/>
      <c r="P26" s="2"/>
      <c r="AN26" s="4"/>
      <c r="AO26" s="4"/>
      <c r="AP26" s="4"/>
      <c r="AS26"/>
      <c r="AT26"/>
      <c r="AU26"/>
      <c r="AV26"/>
      <c r="AW26"/>
      <c r="AX26"/>
      <c r="AY26"/>
      <c r="AZ26"/>
      <c r="BA26"/>
    </row>
    <row r="27" spans="1:53" s="1" customFormat="1" x14ac:dyDescent="0.3">
      <c r="A27"/>
      <c r="B27"/>
      <c r="C27"/>
      <c r="D27"/>
      <c r="E27"/>
      <c r="F27"/>
      <c r="G27"/>
      <c r="H27"/>
      <c r="I27"/>
      <c r="J27"/>
      <c r="K27"/>
      <c r="P27" s="2"/>
      <c r="AN27" s="4"/>
      <c r="AO27" s="4"/>
      <c r="AP27" s="4"/>
      <c r="AS27"/>
      <c r="AT27"/>
      <c r="AU27"/>
      <c r="AV27"/>
      <c r="AW27"/>
      <c r="AX27"/>
      <c r="AY27"/>
      <c r="AZ27"/>
      <c r="BA27"/>
    </row>
  </sheetData>
  <mergeCells count="28">
    <mergeCell ref="AB16:AC16"/>
    <mergeCell ref="AE16:AF16"/>
    <mergeCell ref="A19:H19"/>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18">
    <cfRule type="cellIs" dxfId="95" priority="20" operator="equal">
      <formula>"Muy Alta"</formula>
    </cfRule>
    <cfRule type="cellIs" dxfId="94" priority="21" operator="equal">
      <formula>"Alta"</formula>
    </cfRule>
    <cfRule type="cellIs" dxfId="93" priority="22" operator="equal">
      <formula>"Media"</formula>
    </cfRule>
    <cfRule type="cellIs" dxfId="92" priority="23" operator="equal">
      <formula>"Muy Baja"</formula>
    </cfRule>
    <cfRule type="cellIs" dxfId="91" priority="24" operator="equal">
      <formula>"Baja"</formula>
    </cfRule>
  </conditionalFormatting>
  <conditionalFormatting sqref="L17:L18">
    <cfRule type="cellIs" dxfId="90" priority="15" operator="equal">
      <formula>"Leve"</formula>
    </cfRule>
    <cfRule type="cellIs" dxfId="89" priority="16" operator="equal">
      <formula>"Catastrófico"</formula>
    </cfRule>
    <cfRule type="cellIs" dxfId="88" priority="17" operator="equal">
      <formula>"Mayor"</formula>
    </cfRule>
    <cfRule type="cellIs" dxfId="87" priority="18" operator="equal">
      <formula>"Moderado"</formula>
    </cfRule>
    <cfRule type="cellIs" dxfId="86" priority="19" operator="equal">
      <formula>"Menor"</formula>
    </cfRule>
  </conditionalFormatting>
  <conditionalFormatting sqref="O17:O18 AM17:AM18">
    <cfRule type="cellIs" dxfId="85" priority="11" operator="equal">
      <formula>"EXTREMO"</formula>
    </cfRule>
    <cfRule type="cellIs" dxfId="84" priority="12" operator="equal">
      <formula>"ALTO"</formula>
    </cfRule>
    <cfRule type="cellIs" dxfId="83" priority="13" operator="equal">
      <formula>"BAJO"</formula>
    </cfRule>
    <cfRule type="cellIs" dxfId="82" priority="14" operator="equal">
      <formula>"MODERADO"</formula>
    </cfRule>
  </conditionalFormatting>
  <conditionalFormatting sqref="AH17:AH18">
    <cfRule type="cellIs" dxfId="81" priority="6" operator="equal">
      <formula>"Muy Baja"</formula>
    </cfRule>
    <cfRule type="cellIs" dxfId="80" priority="7" operator="equal">
      <formula>"Baja"</formula>
    </cfRule>
    <cfRule type="cellIs" dxfId="79" priority="8" operator="equal">
      <formula>"Media"</formula>
    </cfRule>
    <cfRule type="cellIs" dxfId="78" priority="9" operator="equal">
      <formula>"Muy Alta"</formula>
    </cfRule>
    <cfRule type="cellIs" dxfId="77" priority="10" operator="equal">
      <formula>"Alta"</formula>
    </cfRule>
  </conditionalFormatting>
  <conditionalFormatting sqref="AJ17:AJ18">
    <cfRule type="cellIs" dxfId="76" priority="1" operator="equal">
      <formula>"Catastrófico"</formula>
    </cfRule>
    <cfRule type="cellIs" dxfId="75" priority="2" operator="equal">
      <formula>"Mayor"</formula>
    </cfRule>
    <cfRule type="cellIs" dxfId="74" priority="3" operator="equal">
      <formula>"Moderado"</formula>
    </cfRule>
    <cfRule type="cellIs" dxfId="73" priority="4" operator="equal">
      <formula>"Menor"</formula>
    </cfRule>
    <cfRule type="cellIs" dxfId="72" priority="5" operator="equal">
      <formula>"Leve"</formula>
    </cfRule>
  </conditionalFormatting>
  <hyperlinks>
    <hyperlink ref="A14:O15" location="Instructivo!A1" display="IDENTIFICACIÓN DEL RIESGO" xr:uid="{B9602C59-5430-4D61-B4AB-F9B4BD8B5AFE}"/>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40A43-FAD6-4FB3-82FE-28ABD7B76AC1}">
  <sheetPr>
    <tabColor theme="0"/>
    <pageSetUpPr fitToPage="1"/>
  </sheetPr>
  <dimension ref="A1:BA31"/>
  <sheetViews>
    <sheetView showGridLines="0" topLeftCell="V10" zoomScale="60" zoomScaleNormal="60" zoomScaleSheetLayoutView="80" workbookViewId="0">
      <selection activeCell="AQ19" sqref="AQ19:AQ20"/>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88671875" customWidth="1"/>
    <col min="12" max="12" width="20.109375"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23" width="46.6640625" style="1" customWidth="1"/>
    <col min="24" max="24" width="15.88671875" style="1" customWidth="1"/>
    <col min="25" max="27" width="10.33203125" style="1" customWidth="1"/>
    <col min="28" max="28" width="6" style="1" customWidth="1"/>
    <col min="29" max="29" width="13.6640625" style="1" customWidth="1"/>
    <col min="30" max="30" width="7.44140625" style="1" customWidth="1"/>
    <col min="31" max="31" width="5.6640625" style="1" customWidth="1"/>
    <col min="32" max="32" width="40.109375"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44140625" style="4" customWidth="1"/>
    <col min="41" max="41" width="1" style="4" customWidth="1"/>
    <col min="42" max="42" width="26.88671875" style="4" customWidth="1"/>
    <col min="43" max="43" width="26.6640625" style="1" customWidth="1"/>
    <col min="44" max="44" width="20.88671875" style="1" customWidth="1"/>
    <col min="45" max="45" width="1" customWidth="1"/>
    <col min="46" max="46" width="18.33203125" customWidth="1"/>
    <col min="47" max="47" width="67.6640625" customWidth="1"/>
    <col min="48" max="50" width="45" customWidth="1"/>
    <col min="51" max="51" width="1" customWidth="1"/>
    <col min="52" max="53" width="4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4</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399999999999999"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284</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45828</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29" t="s">
        <v>702</v>
      </c>
      <c r="E10" s="230"/>
      <c r="F10" s="230"/>
      <c r="G10" s="230"/>
      <c r="H10" s="230"/>
      <c r="I10" s="230"/>
      <c r="J10" s="230"/>
      <c r="K10" s="230"/>
      <c r="L10" s="230"/>
      <c r="M10" s="231"/>
      <c r="N10" s="21"/>
      <c r="AN10" s="1"/>
      <c r="AO10" s="1"/>
      <c r="AP10" s="1"/>
    </row>
    <row r="11" spans="1:53" s="3" customFormat="1" ht="75" customHeight="1" x14ac:dyDescent="0.3">
      <c r="A11" s="194" t="s">
        <v>11</v>
      </c>
      <c r="B11" s="194"/>
      <c r="C11" s="194"/>
      <c r="D11" s="233" t="s">
        <v>703</v>
      </c>
      <c r="E11" s="234"/>
      <c r="F11" s="234"/>
      <c r="G11" s="234"/>
      <c r="H11" s="234"/>
      <c r="I11" s="234"/>
      <c r="J11" s="234"/>
      <c r="K11" s="234"/>
      <c r="L11" s="234"/>
      <c r="M11" s="235"/>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94" t="s">
        <v>13</v>
      </c>
      <c r="B12" s="194"/>
      <c r="C12" s="194"/>
      <c r="D12" s="233" t="s">
        <v>704</v>
      </c>
      <c r="E12" s="234"/>
      <c r="F12" s="234"/>
      <c r="G12" s="234"/>
      <c r="H12" s="234"/>
      <c r="I12" s="234"/>
      <c r="J12" s="234"/>
      <c r="K12" s="234"/>
      <c r="L12" s="234"/>
      <c r="M12" s="235"/>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66" t="s">
        <v>15</v>
      </c>
      <c r="B14" s="167"/>
      <c r="C14" s="167"/>
      <c r="D14" s="167"/>
      <c r="E14" s="167"/>
      <c r="F14" s="167"/>
      <c r="G14" s="167"/>
      <c r="H14" s="167"/>
      <c r="I14" s="167"/>
      <c r="J14" s="167"/>
      <c r="K14" s="167"/>
      <c r="L14" s="167"/>
      <c r="M14" s="167"/>
      <c r="N14" s="168"/>
      <c r="O14" s="169"/>
      <c r="P14" s="2"/>
      <c r="Q14" s="174" t="s">
        <v>16</v>
      </c>
      <c r="R14" s="175"/>
      <c r="S14" s="175"/>
      <c r="T14" s="175"/>
      <c r="U14" s="175"/>
      <c r="V14" s="175"/>
      <c r="W14" s="175"/>
      <c r="X14" s="175"/>
      <c r="Y14" s="176"/>
      <c r="Z14" s="176"/>
      <c r="AA14" s="176"/>
      <c r="AB14" s="176"/>
      <c r="AC14" s="176"/>
      <c r="AD14" s="176"/>
      <c r="AE14" s="176"/>
      <c r="AF14" s="175"/>
      <c r="AG14" s="175"/>
      <c r="AH14" s="175"/>
      <c r="AI14" s="175"/>
      <c r="AJ14" s="175"/>
      <c r="AK14" s="175"/>
      <c r="AL14" s="175"/>
      <c r="AM14" s="175"/>
      <c r="AN14" s="177"/>
      <c r="AO14" s="2"/>
      <c r="AP14" s="178" t="s">
        <v>17</v>
      </c>
      <c r="AQ14" s="179"/>
      <c r="AR14" s="180"/>
      <c r="AT14" s="184" t="s">
        <v>18</v>
      </c>
      <c r="AU14" s="185"/>
      <c r="AV14" s="185"/>
      <c r="AW14" s="185"/>
      <c r="AX14" s="186"/>
      <c r="AY14" s="27"/>
      <c r="AZ14" s="178" t="s">
        <v>19</v>
      </c>
      <c r="BA14" s="180"/>
    </row>
    <row r="15" spans="1:53" x14ac:dyDescent="0.3">
      <c r="A15" s="170"/>
      <c r="B15" s="171"/>
      <c r="C15" s="171"/>
      <c r="D15" s="171"/>
      <c r="E15" s="171"/>
      <c r="F15" s="171"/>
      <c r="G15" s="171"/>
      <c r="H15" s="171"/>
      <c r="I15" s="171"/>
      <c r="J15" s="171"/>
      <c r="K15" s="171"/>
      <c r="L15" s="171"/>
      <c r="M15" s="171"/>
      <c r="N15" s="172"/>
      <c r="O15" s="173"/>
      <c r="P15" s="2"/>
      <c r="Q15" s="23"/>
      <c r="R15" s="24"/>
      <c r="S15" s="24"/>
      <c r="T15" s="24"/>
      <c r="U15" s="24"/>
      <c r="V15" s="24"/>
      <c r="W15" s="24"/>
      <c r="X15" s="24"/>
      <c r="Y15" s="189" t="s">
        <v>20</v>
      </c>
      <c r="Z15" s="190"/>
      <c r="AA15" s="191"/>
      <c r="AB15" s="189" t="s">
        <v>21</v>
      </c>
      <c r="AC15" s="190"/>
      <c r="AD15" s="190"/>
      <c r="AE15" s="190"/>
      <c r="AF15" s="191"/>
      <c r="AG15" s="192"/>
      <c r="AH15" s="192"/>
      <c r="AI15" s="192"/>
      <c r="AJ15" s="192"/>
      <c r="AK15" s="192"/>
      <c r="AL15" s="192"/>
      <c r="AM15" s="192"/>
      <c r="AN15" s="193"/>
      <c r="AO15" s="2"/>
      <c r="AP15" s="181"/>
      <c r="AQ15" s="182"/>
      <c r="AR15" s="183"/>
      <c r="AT15" s="187"/>
      <c r="AU15" s="182"/>
      <c r="AV15" s="182"/>
      <c r="AW15" s="182"/>
      <c r="AX15" s="188"/>
      <c r="AY15" s="27"/>
      <c r="AZ15" s="181"/>
      <c r="BA15" s="183"/>
    </row>
    <row r="16" spans="1:53" s="5" customFormat="1" ht="166.5" customHeight="1" x14ac:dyDescent="0.3">
      <c r="A16" s="9" t="s">
        <v>22</v>
      </c>
      <c r="B16" s="10" t="s">
        <v>23</v>
      </c>
      <c r="C16" s="11" t="s">
        <v>24</v>
      </c>
      <c r="D16" s="11" t="s">
        <v>25</v>
      </c>
      <c r="E16" s="12" t="s">
        <v>26</v>
      </c>
      <c r="F16" s="19" t="s">
        <v>27</v>
      </c>
      <c r="G16" s="29" t="s">
        <v>28</v>
      </c>
      <c r="H16" s="12" t="s">
        <v>29</v>
      </c>
      <c r="I16" s="11" t="s">
        <v>30</v>
      </c>
      <c r="J16" s="11" t="s">
        <v>31</v>
      </c>
      <c r="K16" s="12" t="s">
        <v>32</v>
      </c>
      <c r="L16" s="12" t="s">
        <v>33</v>
      </c>
      <c r="M16" s="11" t="s">
        <v>30</v>
      </c>
      <c r="N16" s="11" t="s">
        <v>34</v>
      </c>
      <c r="O16" s="13" t="s">
        <v>35</v>
      </c>
      <c r="P16" s="2"/>
      <c r="Q16" s="14" t="s">
        <v>36</v>
      </c>
      <c r="R16" s="95" t="s">
        <v>37</v>
      </c>
      <c r="S16" s="95" t="s">
        <v>38</v>
      </c>
      <c r="T16" s="95" t="s">
        <v>39</v>
      </c>
      <c r="U16" s="95" t="s">
        <v>40</v>
      </c>
      <c r="V16" s="95" t="s">
        <v>41</v>
      </c>
      <c r="W16" s="95" t="s">
        <v>42</v>
      </c>
      <c r="X16" s="25" t="s">
        <v>43</v>
      </c>
      <c r="Y16" s="44" t="s">
        <v>44</v>
      </c>
      <c r="Z16" s="44" t="s">
        <v>45</v>
      </c>
      <c r="AA16" s="16" t="s">
        <v>46</v>
      </c>
      <c r="AB16" s="161" t="s">
        <v>47</v>
      </c>
      <c r="AC16" s="162"/>
      <c r="AD16" s="16" t="s">
        <v>48</v>
      </c>
      <c r="AE16" s="161" t="s">
        <v>49</v>
      </c>
      <c r="AF16" s="162"/>
      <c r="AG16" s="17" t="s">
        <v>50</v>
      </c>
      <c r="AH16" s="17" t="s">
        <v>51</v>
      </c>
      <c r="AI16" s="17" t="s">
        <v>30</v>
      </c>
      <c r="AJ16" s="17" t="s">
        <v>52</v>
      </c>
      <c r="AK16" s="17" t="s">
        <v>30</v>
      </c>
      <c r="AL16" s="17" t="s">
        <v>34</v>
      </c>
      <c r="AM16" s="17" t="s">
        <v>53</v>
      </c>
      <c r="AN16" s="13" t="s">
        <v>54</v>
      </c>
      <c r="AO16" s="2"/>
      <c r="AP16" s="18" t="s">
        <v>55</v>
      </c>
      <c r="AQ16" s="15" t="s">
        <v>56</v>
      </c>
      <c r="AR16" s="26" t="s">
        <v>57</v>
      </c>
      <c r="AT16" s="40" t="s">
        <v>58</v>
      </c>
      <c r="AU16" s="42" t="s">
        <v>59</v>
      </c>
      <c r="AV16" s="42" t="s">
        <v>60</v>
      </c>
      <c r="AW16" s="42" t="s">
        <v>61</v>
      </c>
      <c r="AX16" s="41" t="s">
        <v>62</v>
      </c>
      <c r="AY16" s="28"/>
      <c r="AZ16" s="43" t="s">
        <v>63</v>
      </c>
      <c r="BA16" s="96" t="s">
        <v>64</v>
      </c>
    </row>
    <row r="17" spans="1:53" ht="353.25" customHeight="1" x14ac:dyDescent="0.3">
      <c r="A17" s="163">
        <v>1</v>
      </c>
      <c r="B17" s="237" t="s">
        <v>65</v>
      </c>
      <c r="C17" s="165" t="s">
        <v>705</v>
      </c>
      <c r="D17" s="165" t="s">
        <v>706</v>
      </c>
      <c r="E17" s="165" t="s">
        <v>707</v>
      </c>
      <c r="F17" s="165"/>
      <c r="G17" s="280">
        <v>365</v>
      </c>
      <c r="H17" s="160" t="str">
        <f>IF(G17&lt;=0,"",IF(G17&lt;=2,"Muy Baja",IF(G17&lt;=24,"Baja",IF(G17&lt;=500,"Media",IF(G17&lt;=5000,"Alta","Muy Alta")))))</f>
        <v>Media</v>
      </c>
      <c r="I17" s="157">
        <f>IF(H17="","",IF(H17="Muy Baja",0.2,IF(H17="Baja",0.4,IF(H17="Media",0.6,IF(H17="Alta",0.8,IF(H17="Muy Alta",1,))))))</f>
        <v>0.6</v>
      </c>
      <c r="J17" s="238" t="s">
        <v>69</v>
      </c>
      <c r="K17" s="239" t="str">
        <f>+J17</f>
        <v>El riesgo afecta la imagen de algún área de la organización.</v>
      </c>
      <c r="L17" s="160" t="str">
        <f>+VLOOKUP(K17,[7]Datos!$O$4:$P$15,2,FALSE)</f>
        <v>Leve</v>
      </c>
      <c r="M17" s="157">
        <f>IF(L17="","",IF(L17="Leve",0.2,IF(L17="Menor",0.4,IF(L17="Moderado",0.6,IF(L17="Mayor",0.8,IF(L17="Catastrófico",1,))))))</f>
        <v>0.2</v>
      </c>
      <c r="N17" s="157" t="str">
        <f>+CONCATENATE(H17, " - ", L17)</f>
        <v>Media - Leve</v>
      </c>
      <c r="O17" s="240" t="str">
        <f>+VLOOKUP(N17,[7]Datos!J4:K28,2,)</f>
        <v>MODERADO</v>
      </c>
      <c r="P17" s="99"/>
      <c r="Q17" s="100">
        <v>1</v>
      </c>
      <c r="R17" s="71" t="s">
        <v>708</v>
      </c>
      <c r="S17" s="71" t="s">
        <v>679</v>
      </c>
      <c r="T17" s="71" t="s">
        <v>709</v>
      </c>
      <c r="U17" s="71" t="s">
        <v>710</v>
      </c>
      <c r="V17" s="71" t="s">
        <v>711</v>
      </c>
      <c r="W17" s="71" t="s">
        <v>712</v>
      </c>
      <c r="X17" s="30" t="str">
        <f>IF(OR(Y17="Preventivo",Y17="Detectivo"),"Probabilidad",IF(Y17="Correctivo","Impacto",""))</f>
        <v>Probabilidad</v>
      </c>
      <c r="Y17" s="6" t="s">
        <v>76</v>
      </c>
      <c r="Z17" s="6" t="s">
        <v>77</v>
      </c>
      <c r="AA17" s="31" t="str">
        <f t="shared" ref="AA17:AA21" si="0">IF(AND(Y17="Preventivo",Z17="Automático"),"50%",IF(AND(Y17="Preventivo",Z17="Manual"),"40%",IF(AND(Y17="Detectivo",Z17="Automático"),"40%",IF(AND(Y17="Detectivo",Z17="Manual"),"30%",IF(AND(Y17="Correctivo",Z17="Automático"),"35%",IF(AND(Y17="Correctivo",Z17="Manual"),"25%",""))))))</f>
        <v>40%</v>
      </c>
      <c r="AB17" s="242" t="s">
        <v>78</v>
      </c>
      <c r="AC17" s="242" t="s">
        <v>713</v>
      </c>
      <c r="AD17" s="6" t="s">
        <v>99</v>
      </c>
      <c r="AE17" s="8" t="s">
        <v>81</v>
      </c>
      <c r="AF17" s="8" t="s">
        <v>714</v>
      </c>
      <c r="AG17" s="32">
        <f>IFERROR(IF(X17="Probabilidad",(I17-(+I17*AA17)),IF(X17="Impacto",I17,"")),"")</f>
        <v>0.36</v>
      </c>
      <c r="AH17" s="33" t="str">
        <f t="shared" ref="AH17:AH21" si="1">IFERROR(IF(AG17="","",IF(AG17&lt;=0.2,"Muy Baja",IF(AG17&lt;=0.4,"Baja",IF(AG17&lt;=0.6,"Media",IF(AG17&lt;=0.8,"Alta","Muy Alta"))))),"")</f>
        <v>Baja</v>
      </c>
      <c r="AI17" s="34">
        <f>I17-(AA17*I17)</f>
        <v>0.36</v>
      </c>
      <c r="AJ17" s="35" t="str">
        <f t="shared" ref="AJ17:AJ21" si="2">IFERROR(IF(AK17="","",IF(AK17&lt;=0.2,"Leve",IF(AK17&lt;=0.4,"Menor",IF(AK17&lt;=0.6,"Moderado",IF(AK17&lt;=0.8,"Mayor","Catastrófico"))))),"")</f>
        <v>Leve</v>
      </c>
      <c r="AK17" s="32">
        <f>IFERROR(IF(X17="Impacto",(M17-(+M17*AA17)),IF(X17="Probabilidad",M17,"")),"")</f>
        <v>0.2</v>
      </c>
      <c r="AL17" s="36" t="str">
        <f>+CONCATENATE(AH17, " - ", AJ17)</f>
        <v>Baja - Leve</v>
      </c>
      <c r="AM17" s="37" t="str">
        <f>+VLOOKUP(AL17,[7]Datos!$J$4:$K$28,2,)</f>
        <v>BAJO</v>
      </c>
      <c r="AN17" s="154" t="s">
        <v>82</v>
      </c>
      <c r="AO17" s="99"/>
      <c r="AP17" s="243" t="s">
        <v>715</v>
      </c>
      <c r="AQ17" s="244" t="s">
        <v>716</v>
      </c>
      <c r="AR17" s="245">
        <v>46371</v>
      </c>
      <c r="AS17" s="102"/>
      <c r="AT17" s="485">
        <v>46156</v>
      </c>
      <c r="AU17" s="486" t="s">
        <v>717</v>
      </c>
      <c r="AV17" s="487" t="s">
        <v>172</v>
      </c>
      <c r="AW17" s="487" t="s">
        <v>302</v>
      </c>
      <c r="AX17" s="488" t="s">
        <v>718</v>
      </c>
      <c r="AY17" s="104"/>
      <c r="AZ17" s="446" t="s">
        <v>719</v>
      </c>
      <c r="BA17" s="475"/>
    </row>
    <row r="18" spans="1:53" ht="353.25" customHeight="1" x14ac:dyDescent="0.3">
      <c r="A18" s="163"/>
      <c r="B18" s="237"/>
      <c r="C18" s="165"/>
      <c r="D18" s="165"/>
      <c r="E18" s="165"/>
      <c r="F18" s="165"/>
      <c r="G18" s="280"/>
      <c r="H18" s="160"/>
      <c r="I18" s="157"/>
      <c r="J18" s="238"/>
      <c r="K18" s="239"/>
      <c r="L18" s="160"/>
      <c r="M18" s="157"/>
      <c r="N18" s="157"/>
      <c r="O18" s="240"/>
      <c r="P18" s="99"/>
      <c r="Q18" s="100">
        <v>2</v>
      </c>
      <c r="R18" s="71" t="s">
        <v>720</v>
      </c>
      <c r="S18" s="71" t="s">
        <v>721</v>
      </c>
      <c r="T18" s="489" t="s">
        <v>722</v>
      </c>
      <c r="U18" s="71" t="s">
        <v>723</v>
      </c>
      <c r="V18" s="71" t="s">
        <v>724</v>
      </c>
      <c r="W18" s="71" t="s">
        <v>725</v>
      </c>
      <c r="X18" s="30" t="str">
        <f t="shared" ref="X18:X21" si="3">IF(OR(Y18="Preventivo",Y18="Detectivo"),"Probabilidad",IF(Y18="Correctivo","Impacto",""))</f>
        <v>Probabilidad</v>
      </c>
      <c r="Y18" s="6" t="s">
        <v>98</v>
      </c>
      <c r="Z18" s="6" t="s">
        <v>77</v>
      </c>
      <c r="AA18" s="31" t="str">
        <f t="shared" si="0"/>
        <v>30%</v>
      </c>
      <c r="AB18" s="242" t="s">
        <v>78</v>
      </c>
      <c r="AC18" s="242" t="s">
        <v>726</v>
      </c>
      <c r="AD18" s="6" t="s">
        <v>99</v>
      </c>
      <c r="AE18" s="8" t="s">
        <v>81</v>
      </c>
      <c r="AF18" s="8" t="str">
        <f t="shared" ref="AF18:AF21" si="4">+W18</f>
        <v>Pantallazos de las validaciones, archivo Excel de seguimiento. Correo electrónico  (cuando aplique)</v>
      </c>
      <c r="AG18" s="34">
        <f t="shared" ref="AG18:AG21" si="5">IFERROR(IF(AND(X17="Probabilidad",X18="Probabilidad"),(AI17-(+AI17*AA18)),IF(X18="Probabilidad",($I$17-(+$I$17*AA18)),IF(X18="Impacto",AI17,""))),"")</f>
        <v>0.252</v>
      </c>
      <c r="AH18" s="33" t="str">
        <f t="shared" si="1"/>
        <v>Baja</v>
      </c>
      <c r="AI18" s="34">
        <f t="shared" ref="AI18:AI21" si="6">+AG18</f>
        <v>0.252</v>
      </c>
      <c r="AJ18" s="35" t="str">
        <f t="shared" si="2"/>
        <v>Leve</v>
      </c>
      <c r="AK18" s="32">
        <f t="shared" ref="AK18:AK21" si="7">IFERROR(IF(AND(X17="Impacto",X17="Impacto"),(AK17-(+AK17*AA18)),IF(X18="Impacto",($M$17-(+$M$17*AA18)),IF(X18="Probabilidad",AK17,""))),"")</f>
        <v>0.2</v>
      </c>
      <c r="AL18" s="36" t="str">
        <f t="shared" ref="AL18:AL21" si="8">+CONCATENATE(AH18, " - ", AJ18)</f>
        <v>Baja - Leve</v>
      </c>
      <c r="AM18" s="37" t="str">
        <f>+VLOOKUP(AL18,[7]Datos!$J$4:$K$28,2,)</f>
        <v>BAJO</v>
      </c>
      <c r="AN18" s="154"/>
      <c r="AO18" s="99"/>
      <c r="AP18" s="243"/>
      <c r="AQ18" s="244"/>
      <c r="AR18" s="245"/>
      <c r="AS18" s="102"/>
      <c r="AT18" s="485">
        <v>46156</v>
      </c>
      <c r="AU18" s="490" t="s">
        <v>727</v>
      </c>
      <c r="AV18" s="491"/>
      <c r="AW18" s="491"/>
      <c r="AX18" s="492"/>
      <c r="AY18" s="104"/>
      <c r="AZ18" s="446" t="s">
        <v>728</v>
      </c>
      <c r="BA18" s="475"/>
    </row>
    <row r="19" spans="1:53" ht="353.25" customHeight="1" x14ac:dyDescent="0.3">
      <c r="A19" s="163"/>
      <c r="B19" s="237"/>
      <c r="C19" s="165"/>
      <c r="D19" s="165"/>
      <c r="E19" s="165"/>
      <c r="F19" s="165"/>
      <c r="G19" s="280"/>
      <c r="H19" s="160"/>
      <c r="I19" s="157"/>
      <c r="J19" s="238"/>
      <c r="K19" s="239"/>
      <c r="L19" s="160"/>
      <c r="M19" s="157"/>
      <c r="N19" s="157"/>
      <c r="O19" s="240"/>
      <c r="P19" s="99"/>
      <c r="Q19" s="100">
        <v>3</v>
      </c>
      <c r="R19" s="71" t="s">
        <v>729</v>
      </c>
      <c r="S19" s="443" t="s">
        <v>730</v>
      </c>
      <c r="T19" s="416" t="s">
        <v>731</v>
      </c>
      <c r="U19" s="71" t="s">
        <v>732</v>
      </c>
      <c r="V19" s="71" t="s">
        <v>733</v>
      </c>
      <c r="W19" s="71" t="s">
        <v>734</v>
      </c>
      <c r="X19" s="30" t="str">
        <f t="shared" si="3"/>
        <v>Probabilidad</v>
      </c>
      <c r="Y19" s="6" t="s">
        <v>98</v>
      </c>
      <c r="Z19" s="6" t="s">
        <v>152</v>
      </c>
      <c r="AA19" s="31" t="str">
        <f t="shared" si="0"/>
        <v>40%</v>
      </c>
      <c r="AB19" s="242" t="s">
        <v>78</v>
      </c>
      <c r="AC19" s="242" t="s">
        <v>735</v>
      </c>
      <c r="AD19" s="6" t="s">
        <v>99</v>
      </c>
      <c r="AE19" s="8" t="s">
        <v>81</v>
      </c>
      <c r="AF19" s="8" t="str">
        <f t="shared" si="4"/>
        <v>Correo electrónico enviado a los conductores o en el Acta de Verificación de los excesos de los límites de velocidad.</v>
      </c>
      <c r="AG19" s="32">
        <f t="shared" si="5"/>
        <v>0.1512</v>
      </c>
      <c r="AH19" s="33" t="str">
        <f t="shared" si="1"/>
        <v>Muy Baja</v>
      </c>
      <c r="AI19" s="34">
        <f t="shared" si="6"/>
        <v>0.1512</v>
      </c>
      <c r="AJ19" s="35" t="str">
        <f t="shared" si="2"/>
        <v>Leve</v>
      </c>
      <c r="AK19" s="32">
        <f t="shared" si="7"/>
        <v>0.2</v>
      </c>
      <c r="AL19" s="36" t="str">
        <f t="shared" si="8"/>
        <v>Muy Baja - Leve</v>
      </c>
      <c r="AM19" s="37" t="str">
        <f>+VLOOKUP(AL19,[7]Datos!$J$4:$K$28,2,)</f>
        <v>BAJO</v>
      </c>
      <c r="AN19" s="154"/>
      <c r="AO19" s="99"/>
      <c r="AP19" s="243"/>
      <c r="AQ19" s="244"/>
      <c r="AR19" s="245"/>
      <c r="AS19" s="102"/>
      <c r="AT19" s="485">
        <v>46156</v>
      </c>
      <c r="AU19" s="490" t="s">
        <v>736</v>
      </c>
      <c r="AV19" s="491"/>
      <c r="AW19" s="491"/>
      <c r="AX19" s="492"/>
      <c r="AY19" s="104"/>
      <c r="AZ19" s="446" t="s">
        <v>737</v>
      </c>
      <c r="BA19" s="475"/>
    </row>
    <row r="20" spans="1:53" ht="297.75" customHeight="1" x14ac:dyDescent="0.3">
      <c r="A20" s="163"/>
      <c r="B20" s="237"/>
      <c r="C20" s="165"/>
      <c r="D20" s="165"/>
      <c r="E20" s="165"/>
      <c r="F20" s="165"/>
      <c r="G20" s="280"/>
      <c r="H20" s="160"/>
      <c r="I20" s="157"/>
      <c r="J20" s="238"/>
      <c r="K20" s="239"/>
      <c r="L20" s="160"/>
      <c r="M20" s="157"/>
      <c r="N20" s="157"/>
      <c r="O20" s="240"/>
      <c r="P20" s="99"/>
      <c r="Q20" s="100">
        <v>4</v>
      </c>
      <c r="R20" s="71" t="s">
        <v>738</v>
      </c>
      <c r="S20" s="443" t="s">
        <v>185</v>
      </c>
      <c r="T20" s="416" t="s">
        <v>739</v>
      </c>
      <c r="U20" s="71" t="s">
        <v>740</v>
      </c>
      <c r="V20" s="71" t="s">
        <v>741</v>
      </c>
      <c r="W20" s="71" t="s">
        <v>742</v>
      </c>
      <c r="X20" s="30" t="str">
        <f t="shared" si="3"/>
        <v>Probabilidad</v>
      </c>
      <c r="Y20" s="6" t="s">
        <v>76</v>
      </c>
      <c r="Z20" s="6" t="s">
        <v>77</v>
      </c>
      <c r="AA20" s="31" t="str">
        <f t="shared" si="0"/>
        <v>40%</v>
      </c>
      <c r="AB20" s="8" t="s">
        <v>78</v>
      </c>
      <c r="AC20" s="242" t="s">
        <v>743</v>
      </c>
      <c r="AD20" s="6" t="s">
        <v>99</v>
      </c>
      <c r="AE20" s="8" t="s">
        <v>81</v>
      </c>
      <c r="AF20" s="8" t="str">
        <f t="shared" si="4"/>
        <v>Formato Conglomerado y trazabilidad  de servicios A-GSA-FT-014
Correo electrónico con solicitud de ajuste (Cuando aplique)</v>
      </c>
      <c r="AG20" s="32">
        <f t="shared" si="5"/>
        <v>9.0719999999999995E-2</v>
      </c>
      <c r="AH20" s="33" t="str">
        <f t="shared" si="1"/>
        <v>Muy Baja</v>
      </c>
      <c r="AI20" s="34">
        <f t="shared" si="6"/>
        <v>9.0719999999999995E-2</v>
      </c>
      <c r="AJ20" s="35" t="str">
        <f t="shared" si="2"/>
        <v>Leve</v>
      </c>
      <c r="AK20" s="32">
        <f t="shared" si="7"/>
        <v>0.2</v>
      </c>
      <c r="AL20" s="36" t="str">
        <f t="shared" si="8"/>
        <v>Muy Baja - Leve</v>
      </c>
      <c r="AM20" s="37" t="str">
        <f>+VLOOKUP(AL20,[7]Datos!$J$4:$K$28,2,)</f>
        <v>BAJO</v>
      </c>
      <c r="AN20" s="154"/>
      <c r="AO20" s="99"/>
      <c r="AP20" s="243"/>
      <c r="AQ20" s="244"/>
      <c r="AR20" s="245"/>
      <c r="AS20" s="102"/>
      <c r="AT20" s="485">
        <v>46156</v>
      </c>
      <c r="AU20" s="490" t="s">
        <v>744</v>
      </c>
      <c r="AV20" s="491"/>
      <c r="AW20" s="491"/>
      <c r="AX20" s="492"/>
      <c r="AY20" s="104"/>
      <c r="AZ20" s="446" t="s">
        <v>745</v>
      </c>
      <c r="BA20" s="475"/>
    </row>
    <row r="21" spans="1:53" ht="381" customHeight="1" x14ac:dyDescent="0.3">
      <c r="A21" s="163"/>
      <c r="B21" s="237"/>
      <c r="C21" s="165"/>
      <c r="D21" s="165"/>
      <c r="E21" s="165"/>
      <c r="F21" s="165"/>
      <c r="G21" s="280"/>
      <c r="H21" s="160"/>
      <c r="I21" s="157"/>
      <c r="J21" s="238"/>
      <c r="K21" s="239"/>
      <c r="L21" s="160"/>
      <c r="M21" s="157"/>
      <c r="N21" s="157"/>
      <c r="O21" s="240"/>
      <c r="P21" s="99"/>
      <c r="Q21" s="100">
        <v>5</v>
      </c>
      <c r="R21" s="71" t="s">
        <v>746</v>
      </c>
      <c r="S21" s="443" t="s">
        <v>747</v>
      </c>
      <c r="T21" s="416" t="s">
        <v>748</v>
      </c>
      <c r="U21" s="71" t="s">
        <v>749</v>
      </c>
      <c r="V21" s="71" t="s">
        <v>750</v>
      </c>
      <c r="W21" s="71" t="s">
        <v>751</v>
      </c>
      <c r="X21" s="30" t="str">
        <f t="shared" si="3"/>
        <v>Impacto</v>
      </c>
      <c r="Y21" s="6" t="s">
        <v>151</v>
      </c>
      <c r="Z21" s="6" t="s">
        <v>77</v>
      </c>
      <c r="AA21" s="31" t="str">
        <f t="shared" si="0"/>
        <v>25%</v>
      </c>
      <c r="AB21" s="8" t="s">
        <v>78</v>
      </c>
      <c r="AC21" s="242" t="s">
        <v>752</v>
      </c>
      <c r="AD21" s="6" t="s">
        <v>99</v>
      </c>
      <c r="AE21" s="8" t="s">
        <v>81</v>
      </c>
      <c r="AF21" s="8" t="str">
        <f t="shared" si="4"/>
        <v>Documentos de la solicitud de la reclamación realizada</v>
      </c>
      <c r="AG21" s="32">
        <f t="shared" si="5"/>
        <v>9.0719999999999995E-2</v>
      </c>
      <c r="AH21" s="33" t="str">
        <f t="shared" si="1"/>
        <v>Muy Baja</v>
      </c>
      <c r="AI21" s="34">
        <f t="shared" si="6"/>
        <v>9.0719999999999995E-2</v>
      </c>
      <c r="AJ21" s="35" t="str">
        <f t="shared" si="2"/>
        <v>Leve</v>
      </c>
      <c r="AK21" s="32">
        <f t="shared" si="7"/>
        <v>0.15000000000000002</v>
      </c>
      <c r="AL21" s="36" t="str">
        <f t="shared" si="8"/>
        <v>Muy Baja - Leve</v>
      </c>
      <c r="AM21" s="37" t="str">
        <f>+VLOOKUP(AL21,[7]Datos!$J$4:$K$28,2,)</f>
        <v>BAJO</v>
      </c>
      <c r="AN21" s="154"/>
      <c r="AO21" s="99"/>
      <c r="AP21" s="243"/>
      <c r="AQ21" s="244"/>
      <c r="AR21" s="245"/>
      <c r="AS21" s="102"/>
      <c r="AT21" s="485">
        <v>46156</v>
      </c>
      <c r="AU21" s="490" t="s">
        <v>753</v>
      </c>
      <c r="AV21" s="493"/>
      <c r="AW21" s="493"/>
      <c r="AX21" s="494"/>
      <c r="AY21" s="104"/>
      <c r="AZ21" s="446" t="s">
        <v>754</v>
      </c>
      <c r="BA21" s="475"/>
    </row>
    <row r="22" spans="1:53" ht="93.75" customHeight="1" x14ac:dyDescent="0.3">
      <c r="B22" s="76"/>
      <c r="C22" s="77"/>
      <c r="D22" s="77"/>
      <c r="E22" s="77"/>
      <c r="F22" s="77"/>
      <c r="G22" s="76"/>
      <c r="H22" s="76"/>
      <c r="I22" s="78"/>
      <c r="J22" s="79"/>
      <c r="K22" s="80"/>
      <c r="L22" s="76"/>
      <c r="M22" s="78"/>
      <c r="N22" s="78"/>
      <c r="O22" s="81"/>
      <c r="P22" s="2"/>
      <c r="Q22" s="82"/>
      <c r="R22" s="22"/>
      <c r="S22" s="22"/>
      <c r="T22" s="22"/>
      <c r="U22" s="22"/>
      <c r="V22" s="22"/>
      <c r="W22" s="22"/>
      <c r="X22" s="82"/>
      <c r="Y22" s="83"/>
      <c r="Z22" s="83"/>
      <c r="AA22" s="84"/>
      <c r="AB22" s="85"/>
      <c r="AC22" s="86"/>
      <c r="AD22" s="83"/>
      <c r="AE22" s="85"/>
      <c r="AF22" s="85"/>
      <c r="AG22" s="87"/>
      <c r="AH22" s="83"/>
      <c r="AI22" s="88"/>
      <c r="AJ22" s="89"/>
      <c r="AK22" s="87"/>
      <c r="AL22" s="90"/>
      <c r="AM22" s="91"/>
      <c r="AN22" s="92"/>
      <c r="AO22" s="2"/>
      <c r="AP22" s="74"/>
      <c r="AQ22" s="74"/>
      <c r="AR22" s="74"/>
      <c r="AT22" s="45"/>
      <c r="AU22" s="46"/>
      <c r="AV22" s="47"/>
      <c r="AW22" s="48"/>
      <c r="AX22" s="49"/>
      <c r="AY22" s="27"/>
      <c r="AZ22" s="47"/>
      <c r="BA22" s="50"/>
    </row>
    <row r="23" spans="1:53" ht="20.399999999999999" x14ac:dyDescent="0.3">
      <c r="A23" s="152" t="s">
        <v>103</v>
      </c>
      <c r="B23" s="152"/>
      <c r="C23" s="152"/>
      <c r="D23" s="152"/>
      <c r="E23" s="152"/>
      <c r="F23" s="152"/>
      <c r="G23" s="152"/>
      <c r="H23" s="152"/>
      <c r="P23" s="2"/>
      <c r="BA23" s="39" t="s">
        <v>104</v>
      </c>
    </row>
    <row r="24" spans="1:53" x14ac:dyDescent="0.3">
      <c r="P24" s="2"/>
    </row>
    <row r="25" spans="1:53" s="1" customFormat="1" x14ac:dyDescent="0.3">
      <c r="A25"/>
      <c r="B25"/>
      <c r="C25"/>
      <c r="D25"/>
      <c r="E25"/>
      <c r="F25"/>
      <c r="G25"/>
      <c r="H25"/>
      <c r="I25"/>
      <c r="J25"/>
      <c r="K25"/>
      <c r="P25" s="2"/>
      <c r="AN25" s="4"/>
      <c r="AO25" s="4"/>
      <c r="AP25" s="4"/>
      <c r="AS25"/>
      <c r="AT25"/>
      <c r="AU25"/>
      <c r="AV25"/>
      <c r="AW25"/>
      <c r="AX25"/>
      <c r="AY25"/>
      <c r="AZ25"/>
      <c r="BA25"/>
    </row>
    <row r="26" spans="1:53" s="1" customFormat="1" x14ac:dyDescent="0.3">
      <c r="A26"/>
      <c r="B26"/>
      <c r="C26"/>
      <c r="D26"/>
      <c r="E26"/>
      <c r="F26"/>
      <c r="G26"/>
      <c r="H26"/>
      <c r="I26"/>
      <c r="J26"/>
      <c r="K26"/>
      <c r="P26" s="2"/>
      <c r="AN26" s="4"/>
      <c r="AO26" s="4"/>
      <c r="AP26" s="4"/>
      <c r="AS26"/>
      <c r="AT26"/>
      <c r="AU26"/>
      <c r="AV26"/>
      <c r="AW26"/>
      <c r="AX26"/>
      <c r="AY26"/>
      <c r="AZ26"/>
      <c r="BA26"/>
    </row>
    <row r="27" spans="1:53" s="1" customFormat="1" x14ac:dyDescent="0.3">
      <c r="A27"/>
      <c r="B27"/>
      <c r="C27"/>
      <c r="D27"/>
      <c r="E27"/>
      <c r="F27"/>
      <c r="G27"/>
      <c r="H27"/>
      <c r="I27"/>
      <c r="J27"/>
      <c r="K27"/>
      <c r="P27" s="2"/>
      <c r="AN27" s="4"/>
      <c r="AO27" s="4"/>
      <c r="AP27" s="4"/>
      <c r="AS27"/>
      <c r="AT27"/>
      <c r="AU27"/>
      <c r="AV27"/>
      <c r="AW27"/>
      <c r="AX27"/>
      <c r="AY27"/>
      <c r="AZ27"/>
      <c r="BA27"/>
    </row>
    <row r="28" spans="1:53" s="1" customFormat="1" x14ac:dyDescent="0.3">
      <c r="A28"/>
      <c r="B28"/>
      <c r="C28"/>
      <c r="D28"/>
      <c r="E28"/>
      <c r="F28"/>
      <c r="G28"/>
      <c r="H28"/>
      <c r="I28"/>
      <c r="J28"/>
      <c r="K28"/>
      <c r="P28" s="2"/>
      <c r="AN28" s="4"/>
      <c r="AO28" s="4"/>
      <c r="AP28" s="4"/>
      <c r="AS28"/>
      <c r="AT28"/>
      <c r="AU28"/>
      <c r="AV28"/>
      <c r="AW28"/>
      <c r="AX28"/>
      <c r="AY28"/>
      <c r="AZ28"/>
      <c r="BA28"/>
    </row>
    <row r="29" spans="1:53" s="1" customFormat="1" x14ac:dyDescent="0.3">
      <c r="A29"/>
      <c r="B29"/>
      <c r="C29"/>
      <c r="D29"/>
      <c r="E29"/>
      <c r="F29"/>
      <c r="G29"/>
      <c r="H29"/>
      <c r="I29"/>
      <c r="J29"/>
      <c r="K29"/>
      <c r="P29" s="2"/>
      <c r="AN29" s="4"/>
      <c r="AO29" s="4"/>
      <c r="AP29" s="4"/>
      <c r="AS29"/>
      <c r="AT29"/>
      <c r="AU29"/>
      <c r="AV29"/>
      <c r="AW29"/>
      <c r="AX29"/>
      <c r="AY29"/>
      <c r="AZ29"/>
      <c r="BA29"/>
    </row>
    <row r="30" spans="1:53" s="1" customFormat="1" x14ac:dyDescent="0.3">
      <c r="A30"/>
      <c r="B30"/>
      <c r="C30"/>
      <c r="D30"/>
      <c r="E30"/>
      <c r="F30"/>
      <c r="G30"/>
      <c r="H30"/>
      <c r="I30"/>
      <c r="J30"/>
      <c r="K30"/>
      <c r="P30" s="2"/>
      <c r="AN30" s="4"/>
      <c r="AO30" s="4"/>
      <c r="AP30" s="4"/>
      <c r="AS30"/>
      <c r="AT30"/>
      <c r="AU30"/>
      <c r="AV30"/>
      <c r="AW30"/>
      <c r="AX30"/>
      <c r="AY30"/>
      <c r="AZ30"/>
      <c r="BA30"/>
    </row>
    <row r="31" spans="1:53" s="1" customFormat="1" x14ac:dyDescent="0.3">
      <c r="A31"/>
      <c r="B31"/>
      <c r="C31"/>
      <c r="D31"/>
      <c r="E31"/>
      <c r="F31"/>
      <c r="G31"/>
      <c r="H31"/>
      <c r="I31"/>
      <c r="J31"/>
      <c r="K31"/>
      <c r="P31" s="2"/>
      <c r="AN31" s="4"/>
      <c r="AO31" s="4"/>
      <c r="AP31" s="4"/>
      <c r="AS31"/>
      <c r="AT31"/>
      <c r="AU31"/>
      <c r="AV31"/>
      <c r="AW31"/>
      <c r="AX31"/>
      <c r="AY31"/>
      <c r="AZ31"/>
      <c r="BA31"/>
    </row>
  </sheetData>
  <mergeCells count="51">
    <mergeCell ref="AW17:AW21"/>
    <mergeCell ref="AX17:AX21"/>
    <mergeCell ref="BA17:BA21"/>
    <mergeCell ref="A23:H23"/>
    <mergeCell ref="O17:O21"/>
    <mergeCell ref="AN17:AN21"/>
    <mergeCell ref="AP17:AP21"/>
    <mergeCell ref="AQ17:AQ21"/>
    <mergeCell ref="AR17:AR21"/>
    <mergeCell ref="AV17:AV21"/>
    <mergeCell ref="I17:I21"/>
    <mergeCell ref="J17:J21"/>
    <mergeCell ref="K17:K21"/>
    <mergeCell ref="L17:L21"/>
    <mergeCell ref="M17:M21"/>
    <mergeCell ref="N17:N21"/>
    <mergeCell ref="AB16:AC16"/>
    <mergeCell ref="AE16:AF16"/>
    <mergeCell ref="A17:A21"/>
    <mergeCell ref="B17:B21"/>
    <mergeCell ref="C17:C21"/>
    <mergeCell ref="D17:D21"/>
    <mergeCell ref="E17:E21"/>
    <mergeCell ref="F17:F21"/>
    <mergeCell ref="G17:G21"/>
    <mergeCell ref="H17:H21"/>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22">
    <cfRule type="cellIs" dxfId="71" priority="20" operator="equal">
      <formula>"Muy Alta"</formula>
    </cfRule>
    <cfRule type="cellIs" dxfId="70" priority="21" operator="equal">
      <formula>"Alta"</formula>
    </cfRule>
    <cfRule type="cellIs" dxfId="69" priority="22" operator="equal">
      <formula>"Media"</formula>
    </cfRule>
    <cfRule type="cellIs" dxfId="68" priority="23" operator="equal">
      <formula>"Muy Baja"</formula>
    </cfRule>
    <cfRule type="cellIs" dxfId="67" priority="24" operator="equal">
      <formula>"Baja"</formula>
    </cfRule>
  </conditionalFormatting>
  <conditionalFormatting sqref="L17:L22">
    <cfRule type="cellIs" dxfId="66" priority="15" operator="equal">
      <formula>"Leve"</formula>
    </cfRule>
    <cfRule type="cellIs" dxfId="65" priority="16" operator="equal">
      <formula>"Catastrófico"</formula>
    </cfRule>
    <cfRule type="cellIs" dxfId="64" priority="17" operator="equal">
      <formula>"Mayor"</formula>
    </cfRule>
    <cfRule type="cellIs" dxfId="63" priority="18" operator="equal">
      <formula>"Moderado"</formula>
    </cfRule>
    <cfRule type="cellIs" dxfId="62" priority="19" operator="equal">
      <formula>"Menor"</formula>
    </cfRule>
  </conditionalFormatting>
  <conditionalFormatting sqref="O17:O22 AM17:AM22">
    <cfRule type="cellIs" dxfId="61" priority="11" operator="equal">
      <formula>"EXTREMO"</formula>
    </cfRule>
    <cfRule type="cellIs" dxfId="60" priority="12" operator="equal">
      <formula>"ALTO"</formula>
    </cfRule>
    <cfRule type="cellIs" dxfId="59" priority="13" operator="equal">
      <formula>"BAJO"</formula>
    </cfRule>
    <cfRule type="cellIs" dxfId="58" priority="14" operator="equal">
      <formula>"MODERADO"</formula>
    </cfRule>
  </conditionalFormatting>
  <conditionalFormatting sqref="AH17:AH22">
    <cfRule type="cellIs" dxfId="57" priority="6" operator="equal">
      <formula>"Muy Baja"</formula>
    </cfRule>
    <cfRule type="cellIs" dxfId="56" priority="7" operator="equal">
      <formula>"Baja"</formula>
    </cfRule>
    <cfRule type="cellIs" dxfId="55" priority="8" operator="equal">
      <formula>"Media"</formula>
    </cfRule>
    <cfRule type="cellIs" dxfId="54" priority="9" operator="equal">
      <formula>"Muy Alta"</formula>
    </cfRule>
    <cfRule type="cellIs" dxfId="53" priority="10" operator="equal">
      <formula>"Alta"</formula>
    </cfRule>
  </conditionalFormatting>
  <conditionalFormatting sqref="AJ17:AJ22">
    <cfRule type="cellIs" dxfId="52" priority="1" operator="equal">
      <formula>"Catastrófico"</formula>
    </cfRule>
    <cfRule type="cellIs" dxfId="51" priority="2" operator="equal">
      <formula>"Mayor"</formula>
    </cfRule>
    <cfRule type="cellIs" dxfId="50" priority="3" operator="equal">
      <formula>"Moderado"</formula>
    </cfRule>
    <cfRule type="cellIs" dxfId="49" priority="4" operator="equal">
      <formula>"Menor"</formula>
    </cfRule>
    <cfRule type="cellIs" dxfId="48" priority="5" operator="equal">
      <formula>"Leve"</formula>
    </cfRule>
  </conditionalFormatting>
  <hyperlinks>
    <hyperlink ref="A14:O15" location="Instructivo!A1" display="IDENTIFICACIÓN DEL RIESGO" xr:uid="{5460EEB7-9E6D-4038-8F3C-A7D811A4D60F}"/>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9E124-514C-4BF5-9120-DAAE0CD499BF}">
  <sheetPr>
    <tabColor theme="0"/>
    <pageSetUpPr fitToPage="1"/>
  </sheetPr>
  <dimension ref="A1:BA30"/>
  <sheetViews>
    <sheetView showGridLines="0" topLeftCell="W18" zoomScale="60" zoomScaleNormal="60" zoomScaleSheetLayoutView="80" workbookViewId="0">
      <selection activeCell="AQ19" sqref="AQ19:AQ20"/>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88671875" customWidth="1"/>
    <col min="12" max="12" width="20.109375"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18" width="41" style="1" customWidth="1"/>
    <col min="19" max="19" width="34.88671875" style="1" customWidth="1"/>
    <col min="20" max="20" width="36.109375" style="1" customWidth="1"/>
    <col min="21" max="21" width="42.88671875" style="1" customWidth="1"/>
    <col min="22" max="22" width="40.5546875" style="1" customWidth="1"/>
    <col min="23" max="23" width="41.6640625" style="1" customWidth="1"/>
    <col min="24" max="24" width="15.88671875" style="1" customWidth="1"/>
    <col min="25" max="27" width="10.33203125" style="1" customWidth="1"/>
    <col min="28" max="28" width="6" style="1" customWidth="1"/>
    <col min="29" max="29" width="13.6640625" style="1" customWidth="1"/>
    <col min="30" max="30" width="7.44140625" style="1" customWidth="1"/>
    <col min="31" max="31" width="5.6640625" style="1" customWidth="1"/>
    <col min="32" max="32" width="40.109375"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44140625" style="4" customWidth="1"/>
    <col min="41" max="41" width="1" style="4" customWidth="1"/>
    <col min="42" max="42" width="26.88671875" style="4" customWidth="1"/>
    <col min="43" max="43" width="26.6640625" style="1" customWidth="1"/>
    <col min="44" max="44" width="20.88671875" style="1" customWidth="1"/>
    <col min="45" max="45" width="1" customWidth="1"/>
    <col min="46" max="46" width="18.33203125" customWidth="1"/>
    <col min="47" max="50" width="45" customWidth="1"/>
    <col min="51" max="51" width="1" customWidth="1"/>
    <col min="52" max="53" width="4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4</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399999999999999"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343</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45828</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29" t="s">
        <v>702</v>
      </c>
      <c r="E10" s="230"/>
      <c r="F10" s="230"/>
      <c r="G10" s="230"/>
      <c r="H10" s="230"/>
      <c r="I10" s="230"/>
      <c r="J10" s="230"/>
      <c r="K10" s="230"/>
      <c r="L10" s="230"/>
      <c r="M10" s="231"/>
      <c r="N10" s="21"/>
      <c r="AN10" s="1"/>
      <c r="AO10" s="1"/>
      <c r="AP10" s="1"/>
    </row>
    <row r="11" spans="1:53" s="3" customFormat="1" ht="75" customHeight="1" x14ac:dyDescent="0.3">
      <c r="A11" s="194" t="s">
        <v>11</v>
      </c>
      <c r="B11" s="194"/>
      <c r="C11" s="194"/>
      <c r="D11" s="233" t="s">
        <v>703</v>
      </c>
      <c r="E11" s="234"/>
      <c r="F11" s="234"/>
      <c r="G11" s="234"/>
      <c r="H11" s="234"/>
      <c r="I11" s="234"/>
      <c r="J11" s="234"/>
      <c r="K11" s="234"/>
      <c r="L11" s="234"/>
      <c r="M11" s="235"/>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94" t="s">
        <v>13</v>
      </c>
      <c r="B12" s="194"/>
      <c r="C12" s="194"/>
      <c r="D12" s="233" t="s">
        <v>704</v>
      </c>
      <c r="E12" s="234"/>
      <c r="F12" s="234"/>
      <c r="G12" s="234"/>
      <c r="H12" s="234"/>
      <c r="I12" s="234"/>
      <c r="J12" s="234"/>
      <c r="K12" s="234"/>
      <c r="L12" s="234"/>
      <c r="M12" s="235"/>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66" t="s">
        <v>15</v>
      </c>
      <c r="B14" s="167"/>
      <c r="C14" s="167"/>
      <c r="D14" s="167"/>
      <c r="E14" s="167"/>
      <c r="F14" s="167"/>
      <c r="G14" s="167"/>
      <c r="H14" s="167"/>
      <c r="I14" s="167"/>
      <c r="J14" s="167"/>
      <c r="K14" s="167"/>
      <c r="L14" s="167"/>
      <c r="M14" s="167"/>
      <c r="N14" s="168"/>
      <c r="O14" s="169"/>
      <c r="P14" s="2"/>
      <c r="Q14" s="174" t="s">
        <v>16</v>
      </c>
      <c r="R14" s="175"/>
      <c r="S14" s="175"/>
      <c r="T14" s="175"/>
      <c r="U14" s="175"/>
      <c r="V14" s="175"/>
      <c r="W14" s="175"/>
      <c r="X14" s="175"/>
      <c r="Y14" s="176"/>
      <c r="Z14" s="176"/>
      <c r="AA14" s="176"/>
      <c r="AB14" s="176"/>
      <c r="AC14" s="176"/>
      <c r="AD14" s="176"/>
      <c r="AE14" s="176"/>
      <c r="AF14" s="175"/>
      <c r="AG14" s="175"/>
      <c r="AH14" s="175"/>
      <c r="AI14" s="175"/>
      <c r="AJ14" s="175"/>
      <c r="AK14" s="175"/>
      <c r="AL14" s="175"/>
      <c r="AM14" s="175"/>
      <c r="AN14" s="177"/>
      <c r="AO14" s="2"/>
      <c r="AP14" s="178" t="s">
        <v>17</v>
      </c>
      <c r="AQ14" s="179"/>
      <c r="AR14" s="180"/>
      <c r="AT14" s="184" t="s">
        <v>18</v>
      </c>
      <c r="AU14" s="185"/>
      <c r="AV14" s="185"/>
      <c r="AW14" s="185"/>
      <c r="AX14" s="186"/>
      <c r="AY14" s="27"/>
      <c r="AZ14" s="178" t="s">
        <v>19</v>
      </c>
      <c r="BA14" s="180"/>
    </row>
    <row r="15" spans="1:53" x14ac:dyDescent="0.3">
      <c r="A15" s="170"/>
      <c r="B15" s="171"/>
      <c r="C15" s="171"/>
      <c r="D15" s="171"/>
      <c r="E15" s="171"/>
      <c r="F15" s="171"/>
      <c r="G15" s="171"/>
      <c r="H15" s="171"/>
      <c r="I15" s="171"/>
      <c r="J15" s="171"/>
      <c r="K15" s="171"/>
      <c r="L15" s="171"/>
      <c r="M15" s="171"/>
      <c r="N15" s="172"/>
      <c r="O15" s="173"/>
      <c r="P15" s="2"/>
      <c r="Q15" s="23"/>
      <c r="R15" s="24"/>
      <c r="S15" s="24"/>
      <c r="T15" s="24"/>
      <c r="U15" s="24"/>
      <c r="V15" s="24"/>
      <c r="W15" s="24"/>
      <c r="X15" s="24"/>
      <c r="Y15" s="189" t="s">
        <v>20</v>
      </c>
      <c r="Z15" s="190"/>
      <c r="AA15" s="191"/>
      <c r="AB15" s="189" t="s">
        <v>21</v>
      </c>
      <c r="AC15" s="190"/>
      <c r="AD15" s="190"/>
      <c r="AE15" s="190"/>
      <c r="AF15" s="191"/>
      <c r="AG15" s="192"/>
      <c r="AH15" s="192"/>
      <c r="AI15" s="192"/>
      <c r="AJ15" s="192"/>
      <c r="AK15" s="192"/>
      <c r="AL15" s="192"/>
      <c r="AM15" s="192"/>
      <c r="AN15" s="193"/>
      <c r="AO15" s="2"/>
      <c r="AP15" s="181"/>
      <c r="AQ15" s="182"/>
      <c r="AR15" s="183"/>
      <c r="AT15" s="187"/>
      <c r="AU15" s="182"/>
      <c r="AV15" s="182"/>
      <c r="AW15" s="182"/>
      <c r="AX15" s="188"/>
      <c r="AY15" s="27"/>
      <c r="AZ15" s="181"/>
      <c r="BA15" s="183"/>
    </row>
    <row r="16" spans="1:53" s="5" customFormat="1" ht="166.5" customHeight="1" x14ac:dyDescent="0.3">
      <c r="A16" s="9" t="s">
        <v>22</v>
      </c>
      <c r="B16" s="10" t="s">
        <v>23</v>
      </c>
      <c r="C16" s="11" t="s">
        <v>24</v>
      </c>
      <c r="D16" s="11" t="s">
        <v>25</v>
      </c>
      <c r="E16" s="12" t="s">
        <v>26</v>
      </c>
      <c r="F16" s="19" t="s">
        <v>27</v>
      </c>
      <c r="G16" s="29" t="s">
        <v>28</v>
      </c>
      <c r="H16" s="12" t="s">
        <v>29</v>
      </c>
      <c r="I16" s="11" t="s">
        <v>30</v>
      </c>
      <c r="J16" s="11" t="s">
        <v>31</v>
      </c>
      <c r="K16" s="12" t="s">
        <v>32</v>
      </c>
      <c r="L16" s="12" t="s">
        <v>33</v>
      </c>
      <c r="M16" s="11" t="s">
        <v>30</v>
      </c>
      <c r="N16" s="11" t="s">
        <v>34</v>
      </c>
      <c r="O16" s="13" t="s">
        <v>35</v>
      </c>
      <c r="P16" s="2"/>
      <c r="Q16" s="14" t="s">
        <v>36</v>
      </c>
      <c r="R16" s="95" t="s">
        <v>37</v>
      </c>
      <c r="S16" s="95" t="s">
        <v>38</v>
      </c>
      <c r="T16" s="95" t="s">
        <v>39</v>
      </c>
      <c r="U16" s="95" t="s">
        <v>40</v>
      </c>
      <c r="V16" s="95" t="s">
        <v>41</v>
      </c>
      <c r="W16" s="95" t="s">
        <v>42</v>
      </c>
      <c r="X16" s="25" t="s">
        <v>43</v>
      </c>
      <c r="Y16" s="44" t="s">
        <v>44</v>
      </c>
      <c r="Z16" s="44" t="s">
        <v>45</v>
      </c>
      <c r="AA16" s="16" t="s">
        <v>46</v>
      </c>
      <c r="AB16" s="161" t="s">
        <v>47</v>
      </c>
      <c r="AC16" s="162"/>
      <c r="AD16" s="16" t="s">
        <v>48</v>
      </c>
      <c r="AE16" s="161" t="s">
        <v>49</v>
      </c>
      <c r="AF16" s="162"/>
      <c r="AG16" s="17" t="s">
        <v>50</v>
      </c>
      <c r="AH16" s="17" t="s">
        <v>51</v>
      </c>
      <c r="AI16" s="17" t="s">
        <v>30</v>
      </c>
      <c r="AJ16" s="17" t="s">
        <v>52</v>
      </c>
      <c r="AK16" s="17" t="s">
        <v>30</v>
      </c>
      <c r="AL16" s="17" t="s">
        <v>34</v>
      </c>
      <c r="AM16" s="17" t="s">
        <v>53</v>
      </c>
      <c r="AN16" s="13" t="s">
        <v>54</v>
      </c>
      <c r="AO16" s="2"/>
      <c r="AP16" s="18" t="s">
        <v>55</v>
      </c>
      <c r="AQ16" s="15" t="s">
        <v>56</v>
      </c>
      <c r="AR16" s="26" t="s">
        <v>57</v>
      </c>
      <c r="AT16" s="40" t="s">
        <v>58</v>
      </c>
      <c r="AU16" s="42" t="s">
        <v>59</v>
      </c>
      <c r="AV16" s="42" t="s">
        <v>60</v>
      </c>
      <c r="AW16" s="42" t="s">
        <v>61</v>
      </c>
      <c r="AX16" s="41" t="s">
        <v>62</v>
      </c>
      <c r="AY16" s="28"/>
      <c r="AZ16" s="43" t="s">
        <v>63</v>
      </c>
      <c r="BA16" s="96" t="s">
        <v>64</v>
      </c>
    </row>
    <row r="17" spans="1:53" ht="353.25" customHeight="1" x14ac:dyDescent="0.3">
      <c r="A17" s="163">
        <v>2</v>
      </c>
      <c r="B17" s="237" t="s">
        <v>65</v>
      </c>
      <c r="C17" s="165" t="s">
        <v>755</v>
      </c>
      <c r="D17" s="165" t="s">
        <v>756</v>
      </c>
      <c r="E17" s="165" t="s">
        <v>757</v>
      </c>
      <c r="F17" s="165"/>
      <c r="G17" s="280">
        <v>365</v>
      </c>
      <c r="H17" s="160" t="str">
        <f>IF(G17&lt;=0,"",IF(G17&lt;=2,"Muy Baja",IF(G17&lt;=24,"Baja",IF(G17&lt;=500,"Media",IF(G17&lt;=5000,"Alta","Muy Alta")))))</f>
        <v>Media</v>
      </c>
      <c r="I17" s="157">
        <f>IF(H17="","",IF(H17="Muy Baja",0.2,IF(H17="Baja",0.4,IF(H17="Media",0.6,IF(H17="Alta",0.8,IF(H17="Muy Alta",1,))))))</f>
        <v>0.6</v>
      </c>
      <c r="J17" s="238" t="s">
        <v>149</v>
      </c>
      <c r="K17" s="239" t="str">
        <f>+J17</f>
        <v>El riesgo afecta la imagen de la entidad internamente, de conocimiento general nivel interno, de junta directiva y/o de proveedores</v>
      </c>
      <c r="L17" s="160" t="str">
        <f>+VLOOKUP(K17,[7]Datos!$O$4:$P$15,2,FALSE)</f>
        <v>Menor</v>
      </c>
      <c r="M17" s="157">
        <f>IF(L17="","",IF(L17="Leve",0.2,IF(L17="Menor",0.4,IF(L17="Moderado",0.6,IF(L17="Mayor",0.8,IF(L17="Catastrófico",1,))))))</f>
        <v>0.4</v>
      </c>
      <c r="N17" s="157" t="str">
        <f>+CONCATENATE(H17, " - ", L17)</f>
        <v>Media - Menor</v>
      </c>
      <c r="O17" s="240" t="str">
        <f>+VLOOKUP(N17,[7]Datos!J4:K28,2,)</f>
        <v>MODERADO</v>
      </c>
      <c r="P17" s="99"/>
      <c r="Q17" s="100">
        <v>1</v>
      </c>
      <c r="R17" s="71" t="s">
        <v>758</v>
      </c>
      <c r="S17" s="71" t="s">
        <v>759</v>
      </c>
      <c r="T17" s="71" t="s">
        <v>760</v>
      </c>
      <c r="U17" s="71" t="s">
        <v>761</v>
      </c>
      <c r="V17" s="71" t="s">
        <v>762</v>
      </c>
      <c r="W17" s="71" t="s">
        <v>763</v>
      </c>
      <c r="X17" s="30" t="str">
        <f>IF(OR(Y17="Preventivo",Y17="Detectivo"),"Probabilidad",IF(Y17="Correctivo","Impacto",""))</f>
        <v>Probabilidad</v>
      </c>
      <c r="Y17" s="6" t="s">
        <v>76</v>
      </c>
      <c r="Z17" s="6" t="s">
        <v>77</v>
      </c>
      <c r="AA17" s="31" t="str">
        <f t="shared" ref="AA17:AA20" si="0">IF(AND(Y17="Preventivo",Z17="Automático"),"50%",IF(AND(Y17="Preventivo",Z17="Manual"),"40%",IF(AND(Y17="Detectivo",Z17="Automático"),"40%",IF(AND(Y17="Detectivo",Z17="Manual"),"30%",IF(AND(Y17="Correctivo",Z17="Automático"),"35%",IF(AND(Y17="Correctivo",Z17="Manual"),"25%",""))))))</f>
        <v>40%</v>
      </c>
      <c r="AB17" s="242" t="s">
        <v>153</v>
      </c>
      <c r="AC17" s="242" t="s">
        <v>764</v>
      </c>
      <c r="AD17" s="6" t="s">
        <v>99</v>
      </c>
      <c r="AE17" s="8" t="s">
        <v>81</v>
      </c>
      <c r="AF17" s="8" t="str">
        <f t="shared" ref="AF17:AF20" si="1">+W17</f>
        <v>El reporte en Aranda 
(correo electrónico cuando aplique)</v>
      </c>
      <c r="AG17" s="32">
        <f>IFERROR(IF(X17="Probabilidad",(I17-(+I17*AA17)),IF(X17="Impacto",I17,"")),"")</f>
        <v>0.36</v>
      </c>
      <c r="AH17" s="33" t="str">
        <f t="shared" ref="AH17:AH20" si="2">IFERROR(IF(AG17="","",IF(AG17&lt;=0.2,"Muy Baja",IF(AG17&lt;=0.4,"Baja",IF(AG17&lt;=0.6,"Media",IF(AG17&lt;=0.8,"Alta","Muy Alta"))))),"")</f>
        <v>Baja</v>
      </c>
      <c r="AI17" s="34">
        <f>I17-(AA17*I17)</f>
        <v>0.36</v>
      </c>
      <c r="AJ17" s="35" t="str">
        <f t="shared" ref="AJ17:AJ20" si="3">IFERROR(IF(AK17="","",IF(AK17&lt;=0.2,"Leve",IF(AK17&lt;=0.4,"Menor",IF(AK17&lt;=0.6,"Moderado",IF(AK17&lt;=0.8,"Mayor","Catastrófico"))))),"")</f>
        <v>Menor</v>
      </c>
      <c r="AK17" s="32">
        <f>IFERROR(IF(X17="Impacto",(M17-(+M17*AA17)),IF(X17="Probabilidad",M17,"")),"")</f>
        <v>0.4</v>
      </c>
      <c r="AL17" s="36" t="str">
        <f>+CONCATENATE(AH17, " - ", AJ17)</f>
        <v>Baja - Menor</v>
      </c>
      <c r="AM17" s="37" t="str">
        <f>+VLOOKUP(AL17,[7]Datos!$J$4:$K$28,2,)</f>
        <v>MODERADO</v>
      </c>
      <c r="AN17" s="154" t="s">
        <v>82</v>
      </c>
      <c r="AO17" s="99"/>
      <c r="AP17" s="243" t="s">
        <v>765</v>
      </c>
      <c r="AQ17" s="243" t="s">
        <v>766</v>
      </c>
      <c r="AR17" s="243" t="s">
        <v>767</v>
      </c>
      <c r="AS17" s="102"/>
      <c r="AT17" s="485">
        <v>46156</v>
      </c>
      <c r="AU17" s="446" t="s">
        <v>768</v>
      </c>
      <c r="AV17" s="495" t="s">
        <v>172</v>
      </c>
      <c r="AW17" s="267" t="s">
        <v>302</v>
      </c>
      <c r="AX17" s="496" t="s">
        <v>769</v>
      </c>
      <c r="AY17" s="104"/>
      <c r="AZ17" s="446" t="s">
        <v>770</v>
      </c>
      <c r="BA17" s="475"/>
    </row>
    <row r="18" spans="1:53" ht="353.25" customHeight="1" x14ac:dyDescent="0.3">
      <c r="A18" s="163"/>
      <c r="B18" s="237"/>
      <c r="C18" s="165"/>
      <c r="D18" s="165"/>
      <c r="E18" s="165"/>
      <c r="F18" s="165"/>
      <c r="G18" s="280"/>
      <c r="H18" s="160"/>
      <c r="I18" s="157"/>
      <c r="J18" s="238"/>
      <c r="K18" s="239"/>
      <c r="L18" s="160"/>
      <c r="M18" s="157"/>
      <c r="N18" s="157"/>
      <c r="O18" s="240"/>
      <c r="P18" s="99"/>
      <c r="Q18" s="100">
        <v>2</v>
      </c>
      <c r="R18" s="71" t="s">
        <v>771</v>
      </c>
      <c r="S18" s="71" t="s">
        <v>772</v>
      </c>
      <c r="T18" s="497" t="s">
        <v>773</v>
      </c>
      <c r="U18" s="71" t="s">
        <v>774</v>
      </c>
      <c r="V18" s="71" t="s">
        <v>775</v>
      </c>
      <c r="W18" s="71" t="s">
        <v>776</v>
      </c>
      <c r="X18" s="30" t="str">
        <f t="shared" ref="X18:X20" si="4">IF(OR(Y18="Preventivo",Y18="Detectivo"),"Probabilidad",IF(Y18="Correctivo","Impacto",""))</f>
        <v>Probabilidad</v>
      </c>
      <c r="Y18" s="6" t="s">
        <v>76</v>
      </c>
      <c r="Z18" s="6" t="s">
        <v>77</v>
      </c>
      <c r="AA18" s="31" t="str">
        <f t="shared" si="0"/>
        <v>40%</v>
      </c>
      <c r="AB18" s="242" t="s">
        <v>78</v>
      </c>
      <c r="AC18" s="242" t="s">
        <v>777</v>
      </c>
      <c r="AD18" s="6" t="s">
        <v>99</v>
      </c>
      <c r="AE18" s="8" t="s">
        <v>81</v>
      </c>
      <c r="AF18" s="8" t="str">
        <f t="shared" si="1"/>
        <v>Solicitud de servicio de transporte A-GSA-FT-008
correo electrónico cuando aplique.</v>
      </c>
      <c r="AG18" s="34">
        <f t="shared" ref="AG18:AG20" si="5">IFERROR(IF(AND(X17="Probabilidad",X18="Probabilidad"),(AI17-(+AI17*AA18)),IF(X18="Probabilidad",($I$17-(+$I$17*AA18)),IF(X18="Impacto",AI17,""))),"")</f>
        <v>0.216</v>
      </c>
      <c r="AH18" s="33" t="str">
        <f t="shared" si="2"/>
        <v>Baja</v>
      </c>
      <c r="AI18" s="34">
        <f t="shared" ref="AI18:AI20" si="6">+AG18</f>
        <v>0.216</v>
      </c>
      <c r="AJ18" s="35" t="str">
        <f t="shared" si="3"/>
        <v>Menor</v>
      </c>
      <c r="AK18" s="32">
        <f t="shared" ref="AK18:AK20" si="7">IFERROR(IF(AND(X17="Impacto",X17="Impacto"),(AK17-(+AK17*AA18)),IF(X18="Impacto",($M$17-(+$M$17*AA18)),IF(X18="Probabilidad",AK17,""))),"")</f>
        <v>0.4</v>
      </c>
      <c r="AL18" s="36" t="str">
        <f t="shared" ref="AL18:AL20" si="8">+CONCATENATE(AH18, " - ", AJ18)</f>
        <v>Baja - Menor</v>
      </c>
      <c r="AM18" s="37" t="str">
        <f>+VLOOKUP(AL18,[7]Datos!$J$4:$K$28,2,)</f>
        <v>MODERADO</v>
      </c>
      <c r="AN18" s="154"/>
      <c r="AO18" s="99"/>
      <c r="AP18" s="498"/>
      <c r="AQ18" s="498"/>
      <c r="AR18" s="498"/>
      <c r="AS18" s="102"/>
      <c r="AT18" s="485">
        <v>46156</v>
      </c>
      <c r="AU18" s="499" t="s">
        <v>778</v>
      </c>
      <c r="AV18" s="500"/>
      <c r="AW18" s="274"/>
      <c r="AX18" s="501"/>
      <c r="AY18" s="104"/>
      <c r="AZ18" s="446" t="s">
        <v>779</v>
      </c>
      <c r="BA18" s="475"/>
    </row>
    <row r="19" spans="1:53" ht="381.75" customHeight="1" x14ac:dyDescent="0.3">
      <c r="A19" s="163"/>
      <c r="B19" s="237"/>
      <c r="C19" s="165"/>
      <c r="D19" s="165"/>
      <c r="E19" s="165"/>
      <c r="F19" s="165"/>
      <c r="G19" s="280"/>
      <c r="H19" s="160"/>
      <c r="I19" s="157"/>
      <c r="J19" s="238"/>
      <c r="K19" s="239"/>
      <c r="L19" s="160"/>
      <c r="M19" s="157"/>
      <c r="N19" s="157"/>
      <c r="O19" s="240"/>
      <c r="P19" s="99"/>
      <c r="Q19" s="100">
        <v>3</v>
      </c>
      <c r="R19" s="71" t="s">
        <v>771</v>
      </c>
      <c r="S19" s="443" t="s">
        <v>780</v>
      </c>
      <c r="T19" s="416" t="s">
        <v>781</v>
      </c>
      <c r="U19" s="71" t="s">
        <v>782</v>
      </c>
      <c r="V19" s="71" t="s">
        <v>783</v>
      </c>
      <c r="W19" s="71" t="s">
        <v>784</v>
      </c>
      <c r="X19" s="30" t="str">
        <f t="shared" si="4"/>
        <v>Impacto</v>
      </c>
      <c r="Y19" s="6" t="s">
        <v>151</v>
      </c>
      <c r="Z19" s="6" t="s">
        <v>77</v>
      </c>
      <c r="AA19" s="31" t="str">
        <f t="shared" si="0"/>
        <v>25%</v>
      </c>
      <c r="AB19" s="242" t="s">
        <v>78</v>
      </c>
      <c r="AC19" s="502" t="s">
        <v>777</v>
      </c>
      <c r="AD19" s="6" t="s">
        <v>99</v>
      </c>
      <c r="AE19" s="8" t="s">
        <v>81</v>
      </c>
      <c r="AF19" s="8" t="str">
        <f t="shared" si="1"/>
        <v>Formato Control de Recorrido A-GSA-FT-009</v>
      </c>
      <c r="AG19" s="32">
        <f t="shared" si="5"/>
        <v>0.216</v>
      </c>
      <c r="AH19" s="33" t="str">
        <f t="shared" si="2"/>
        <v>Baja</v>
      </c>
      <c r="AI19" s="34">
        <f t="shared" si="6"/>
        <v>0.216</v>
      </c>
      <c r="AJ19" s="35" t="str">
        <f t="shared" si="3"/>
        <v>Menor</v>
      </c>
      <c r="AK19" s="32">
        <f t="shared" si="7"/>
        <v>0.30000000000000004</v>
      </c>
      <c r="AL19" s="36" t="str">
        <f t="shared" si="8"/>
        <v>Baja - Menor</v>
      </c>
      <c r="AM19" s="37" t="str">
        <f>+VLOOKUP(AL19,[7]Datos!$J$4:$K$28,2,)</f>
        <v>MODERADO</v>
      </c>
      <c r="AN19" s="154"/>
      <c r="AO19" s="99"/>
      <c r="AP19" s="503" t="s">
        <v>785</v>
      </c>
      <c r="AQ19" s="155" t="s">
        <v>786</v>
      </c>
      <c r="AR19" s="504" t="s">
        <v>787</v>
      </c>
      <c r="AS19" s="102"/>
      <c r="AT19" s="485">
        <v>46156</v>
      </c>
      <c r="AU19" s="499" t="s">
        <v>788</v>
      </c>
      <c r="AV19" s="500"/>
      <c r="AW19" s="274"/>
      <c r="AX19" s="501"/>
      <c r="AY19" s="104"/>
      <c r="AZ19" s="446" t="s">
        <v>789</v>
      </c>
      <c r="BA19" s="475"/>
    </row>
    <row r="20" spans="1:53" ht="353.25" customHeight="1" x14ac:dyDescent="0.3">
      <c r="A20" s="163"/>
      <c r="B20" s="237"/>
      <c r="C20" s="165"/>
      <c r="D20" s="165"/>
      <c r="E20" s="165"/>
      <c r="F20" s="165"/>
      <c r="G20" s="280"/>
      <c r="H20" s="160"/>
      <c r="I20" s="157"/>
      <c r="J20" s="238"/>
      <c r="K20" s="239"/>
      <c r="L20" s="160"/>
      <c r="M20" s="157"/>
      <c r="N20" s="157"/>
      <c r="O20" s="240"/>
      <c r="P20" s="99"/>
      <c r="Q20" s="100">
        <v>4</v>
      </c>
      <c r="R20" s="71" t="s">
        <v>790</v>
      </c>
      <c r="S20" s="443" t="s">
        <v>780</v>
      </c>
      <c r="T20" s="416" t="s">
        <v>791</v>
      </c>
      <c r="U20" s="71" t="s">
        <v>792</v>
      </c>
      <c r="V20" s="505" t="s">
        <v>793</v>
      </c>
      <c r="W20" s="71" t="s">
        <v>794</v>
      </c>
      <c r="X20" s="30" t="str">
        <f t="shared" si="4"/>
        <v>Impacto</v>
      </c>
      <c r="Y20" s="6" t="s">
        <v>151</v>
      </c>
      <c r="Z20" s="6" t="s">
        <v>77</v>
      </c>
      <c r="AA20" s="31" t="str">
        <f t="shared" si="0"/>
        <v>25%</v>
      </c>
      <c r="AB20" s="8" t="s">
        <v>78</v>
      </c>
      <c r="AC20" s="242" t="s">
        <v>743</v>
      </c>
      <c r="AD20" s="6" t="s">
        <v>99</v>
      </c>
      <c r="AE20" s="8" t="s">
        <v>81</v>
      </c>
      <c r="AF20" s="8" t="str">
        <f t="shared" si="1"/>
        <v>Correos electrónicos</v>
      </c>
      <c r="AG20" s="32">
        <f t="shared" si="5"/>
        <v>0.216</v>
      </c>
      <c r="AH20" s="33" t="str">
        <f t="shared" si="2"/>
        <v>Baja</v>
      </c>
      <c r="AI20" s="34">
        <f t="shared" si="6"/>
        <v>0.216</v>
      </c>
      <c r="AJ20" s="35" t="str">
        <f t="shared" si="3"/>
        <v>Menor</v>
      </c>
      <c r="AK20" s="32">
        <f t="shared" si="7"/>
        <v>0.22500000000000003</v>
      </c>
      <c r="AL20" s="36" t="str">
        <f t="shared" si="8"/>
        <v>Baja - Menor</v>
      </c>
      <c r="AM20" s="37" t="str">
        <f>+VLOOKUP(AL20,[7]Datos!$J$4:$K$28,2,)</f>
        <v>MODERADO</v>
      </c>
      <c r="AN20" s="154"/>
      <c r="AO20" s="99"/>
      <c r="AP20" s="503"/>
      <c r="AQ20" s="155"/>
      <c r="AR20" s="504"/>
      <c r="AS20" s="102"/>
      <c r="AT20" s="485">
        <v>46156</v>
      </c>
      <c r="AU20" s="499" t="s">
        <v>795</v>
      </c>
      <c r="AV20" s="506"/>
      <c r="AW20" s="270"/>
      <c r="AX20" s="507"/>
      <c r="AY20" s="104"/>
      <c r="AZ20" s="446" t="s">
        <v>796</v>
      </c>
      <c r="BA20" s="475"/>
    </row>
    <row r="21" spans="1:53" ht="93.75" customHeight="1" x14ac:dyDescent="0.3">
      <c r="B21" s="76"/>
      <c r="C21" s="77"/>
      <c r="D21" s="77"/>
      <c r="E21" s="77"/>
      <c r="F21" s="77"/>
      <c r="G21" s="76"/>
      <c r="H21" s="76"/>
      <c r="I21" s="78"/>
      <c r="J21" s="79"/>
      <c r="K21" s="80"/>
      <c r="L21" s="76"/>
      <c r="M21" s="78"/>
      <c r="N21" s="78"/>
      <c r="O21" s="81"/>
      <c r="P21" s="2"/>
      <c r="Q21" s="82"/>
      <c r="R21" s="22"/>
      <c r="S21" s="22"/>
      <c r="T21" s="22"/>
      <c r="U21" s="22"/>
      <c r="V21" s="22"/>
      <c r="W21" s="22"/>
      <c r="X21" s="82"/>
      <c r="Y21" s="83"/>
      <c r="Z21" s="83"/>
      <c r="AA21" s="84"/>
      <c r="AB21" s="85"/>
      <c r="AC21" s="86"/>
      <c r="AD21" s="83"/>
      <c r="AE21" s="85"/>
      <c r="AF21" s="85"/>
      <c r="AG21" s="87"/>
      <c r="AH21" s="83"/>
      <c r="AI21" s="88"/>
      <c r="AJ21" s="89"/>
      <c r="AK21" s="87"/>
      <c r="AL21" s="90"/>
      <c r="AM21" s="91"/>
      <c r="AN21" s="92"/>
      <c r="AO21" s="2"/>
      <c r="AP21" s="74"/>
      <c r="AQ21" s="74"/>
      <c r="AR21" s="74"/>
      <c r="AT21" s="45"/>
      <c r="AU21" s="46"/>
      <c r="AV21" s="47"/>
      <c r="AW21" s="48"/>
      <c r="AX21" s="49"/>
      <c r="AY21" s="27"/>
      <c r="AZ21" s="47"/>
      <c r="BA21" s="50"/>
    </row>
    <row r="22" spans="1:53" ht="20.399999999999999" x14ac:dyDescent="0.3">
      <c r="A22" s="152" t="s">
        <v>103</v>
      </c>
      <c r="B22" s="152"/>
      <c r="C22" s="152"/>
      <c r="D22" s="152"/>
      <c r="E22" s="152"/>
      <c r="F22" s="152"/>
      <c r="G22" s="152"/>
      <c r="H22" s="152"/>
      <c r="P22" s="2"/>
      <c r="BA22" s="39" t="s">
        <v>104</v>
      </c>
    </row>
    <row r="23" spans="1:53" x14ac:dyDescent="0.3">
      <c r="P23" s="2"/>
    </row>
    <row r="24" spans="1:53" s="1" customFormat="1" x14ac:dyDescent="0.3">
      <c r="A24"/>
      <c r="B24"/>
      <c r="C24"/>
      <c r="D24"/>
      <c r="E24"/>
      <c r="F24"/>
      <c r="G24"/>
      <c r="H24"/>
      <c r="I24"/>
      <c r="J24"/>
      <c r="K24"/>
      <c r="P24" s="2"/>
      <c r="AN24" s="4"/>
      <c r="AO24" s="4"/>
      <c r="AP24" s="4"/>
      <c r="AS24"/>
      <c r="AT24"/>
      <c r="AU24"/>
      <c r="AV24"/>
      <c r="AW24"/>
      <c r="AX24"/>
      <c r="AY24"/>
      <c r="AZ24"/>
      <c r="BA24"/>
    </row>
    <row r="25" spans="1:53" s="1" customFormat="1" x14ac:dyDescent="0.3">
      <c r="A25"/>
      <c r="B25"/>
      <c r="C25"/>
      <c r="D25"/>
      <c r="E25"/>
      <c r="F25"/>
      <c r="G25"/>
      <c r="H25"/>
      <c r="I25"/>
      <c r="J25"/>
      <c r="K25"/>
      <c r="P25" s="2"/>
      <c r="AN25" s="4"/>
      <c r="AO25" s="4"/>
      <c r="AP25" s="4"/>
      <c r="AS25"/>
      <c r="AT25"/>
      <c r="AU25"/>
      <c r="AV25"/>
      <c r="AW25"/>
      <c r="AX25"/>
      <c r="AY25"/>
      <c r="AZ25"/>
      <c r="BA25"/>
    </row>
    <row r="26" spans="1:53" s="1" customFormat="1" x14ac:dyDescent="0.3">
      <c r="A26"/>
      <c r="B26"/>
      <c r="C26"/>
      <c r="D26"/>
      <c r="E26"/>
      <c r="F26"/>
      <c r="G26"/>
      <c r="H26"/>
      <c r="I26"/>
      <c r="J26"/>
      <c r="K26"/>
      <c r="P26" s="2"/>
      <c r="AN26" s="4"/>
      <c r="AO26" s="4"/>
      <c r="AP26" s="4"/>
      <c r="AS26"/>
      <c r="AT26"/>
      <c r="AU26"/>
      <c r="AV26"/>
      <c r="AW26"/>
      <c r="AX26"/>
      <c r="AY26"/>
      <c r="AZ26"/>
      <c r="BA26"/>
    </row>
    <row r="27" spans="1:53" s="1" customFormat="1" x14ac:dyDescent="0.3">
      <c r="A27"/>
      <c r="B27"/>
      <c r="C27"/>
      <c r="D27"/>
      <c r="E27"/>
      <c r="F27"/>
      <c r="G27"/>
      <c r="H27"/>
      <c r="I27"/>
      <c r="J27"/>
      <c r="K27"/>
      <c r="P27" s="2"/>
      <c r="AN27" s="4"/>
      <c r="AO27" s="4"/>
      <c r="AP27" s="4"/>
      <c r="AS27"/>
      <c r="AT27"/>
      <c r="AU27"/>
      <c r="AV27"/>
      <c r="AW27"/>
      <c r="AX27"/>
      <c r="AY27"/>
      <c r="AZ27"/>
      <c r="BA27"/>
    </row>
    <row r="28" spans="1:53" s="1" customFormat="1" x14ac:dyDescent="0.3">
      <c r="A28"/>
      <c r="B28"/>
      <c r="C28"/>
      <c r="D28"/>
      <c r="E28"/>
      <c r="F28"/>
      <c r="G28"/>
      <c r="H28"/>
      <c r="I28"/>
      <c r="J28"/>
      <c r="K28"/>
      <c r="P28" s="2"/>
      <c r="AN28" s="4"/>
      <c r="AO28" s="4"/>
      <c r="AP28" s="4"/>
      <c r="AS28"/>
      <c r="AT28"/>
      <c r="AU28"/>
      <c r="AV28"/>
      <c r="AW28"/>
      <c r="AX28"/>
      <c r="AY28"/>
      <c r="AZ28"/>
      <c r="BA28"/>
    </row>
    <row r="29" spans="1:53" s="1" customFormat="1" x14ac:dyDescent="0.3">
      <c r="A29"/>
      <c r="B29"/>
      <c r="C29"/>
      <c r="D29"/>
      <c r="E29"/>
      <c r="F29"/>
      <c r="G29"/>
      <c r="H29"/>
      <c r="I29"/>
      <c r="J29"/>
      <c r="K29"/>
      <c r="P29" s="2"/>
      <c r="AN29" s="4"/>
      <c r="AO29" s="4"/>
      <c r="AP29" s="4"/>
      <c r="AS29"/>
      <c r="AT29"/>
      <c r="AU29"/>
      <c r="AV29"/>
      <c r="AW29"/>
      <c r="AX29"/>
      <c r="AY29"/>
      <c r="AZ29"/>
      <c r="BA29"/>
    </row>
    <row r="30" spans="1:53" s="1" customFormat="1" x14ac:dyDescent="0.3">
      <c r="A30"/>
      <c r="B30"/>
      <c r="C30"/>
      <c r="D30"/>
      <c r="E30"/>
      <c r="F30"/>
      <c r="G30"/>
      <c r="H30"/>
      <c r="I30"/>
      <c r="J30"/>
      <c r="K30"/>
      <c r="P30" s="2"/>
      <c r="AN30" s="4"/>
      <c r="AO30" s="4"/>
      <c r="AP30" s="4"/>
      <c r="AS30"/>
      <c r="AT30"/>
      <c r="AU30"/>
      <c r="AV30"/>
      <c r="AW30"/>
      <c r="AX30"/>
      <c r="AY30"/>
      <c r="AZ30"/>
      <c r="BA30"/>
    </row>
  </sheetData>
  <mergeCells count="54">
    <mergeCell ref="A22:H22"/>
    <mergeCell ref="AW17:AW20"/>
    <mergeCell ref="AX17:AX20"/>
    <mergeCell ref="BA17:BA20"/>
    <mergeCell ref="AP19:AP20"/>
    <mergeCell ref="AQ19:AQ20"/>
    <mergeCell ref="AR19:AR20"/>
    <mergeCell ref="O17:O20"/>
    <mergeCell ref="AN17:AN20"/>
    <mergeCell ref="AP17:AP18"/>
    <mergeCell ref="AQ17:AQ18"/>
    <mergeCell ref="AR17:AR18"/>
    <mergeCell ref="AV17:AV20"/>
    <mergeCell ref="I17:I20"/>
    <mergeCell ref="J17:J20"/>
    <mergeCell ref="K17:K20"/>
    <mergeCell ref="L17:L20"/>
    <mergeCell ref="M17:M20"/>
    <mergeCell ref="N17:N20"/>
    <mergeCell ref="AB16:AC16"/>
    <mergeCell ref="AE16:AF16"/>
    <mergeCell ref="A17:A20"/>
    <mergeCell ref="B17:B20"/>
    <mergeCell ref="C17:C20"/>
    <mergeCell ref="D17:D20"/>
    <mergeCell ref="E17:E20"/>
    <mergeCell ref="F17:F20"/>
    <mergeCell ref="G17:G20"/>
    <mergeCell ref="H17:H20"/>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21">
    <cfRule type="cellIs" dxfId="47" priority="20" operator="equal">
      <formula>"Muy Alta"</formula>
    </cfRule>
    <cfRule type="cellIs" dxfId="46" priority="21" operator="equal">
      <formula>"Alta"</formula>
    </cfRule>
    <cfRule type="cellIs" dxfId="45" priority="22" operator="equal">
      <formula>"Media"</formula>
    </cfRule>
    <cfRule type="cellIs" dxfId="44" priority="23" operator="equal">
      <formula>"Muy Baja"</formula>
    </cfRule>
    <cfRule type="cellIs" dxfId="43" priority="24" operator="equal">
      <formula>"Baja"</formula>
    </cfRule>
  </conditionalFormatting>
  <conditionalFormatting sqref="L17:L21">
    <cfRule type="cellIs" dxfId="42" priority="15" operator="equal">
      <formula>"Leve"</formula>
    </cfRule>
    <cfRule type="cellIs" dxfId="41" priority="16" operator="equal">
      <formula>"Catastrófico"</formula>
    </cfRule>
    <cfRule type="cellIs" dxfId="40" priority="17" operator="equal">
      <formula>"Mayor"</formula>
    </cfRule>
    <cfRule type="cellIs" dxfId="39" priority="18" operator="equal">
      <formula>"Moderado"</formula>
    </cfRule>
    <cfRule type="cellIs" dxfId="38" priority="19" operator="equal">
      <formula>"Menor"</formula>
    </cfRule>
  </conditionalFormatting>
  <conditionalFormatting sqref="O17:O21 AM17:AM21">
    <cfRule type="cellIs" dxfId="37" priority="11" operator="equal">
      <formula>"EXTREMO"</formula>
    </cfRule>
    <cfRule type="cellIs" dxfId="36" priority="12" operator="equal">
      <formula>"ALTO"</formula>
    </cfRule>
    <cfRule type="cellIs" dxfId="35" priority="13" operator="equal">
      <formula>"BAJO"</formula>
    </cfRule>
    <cfRule type="cellIs" dxfId="34" priority="14" operator="equal">
      <formula>"MODERADO"</formula>
    </cfRule>
  </conditionalFormatting>
  <conditionalFormatting sqref="AH17:AH21">
    <cfRule type="cellIs" dxfId="33" priority="6" operator="equal">
      <formula>"Muy Baja"</formula>
    </cfRule>
    <cfRule type="cellIs" dxfId="32" priority="7" operator="equal">
      <formula>"Baja"</formula>
    </cfRule>
    <cfRule type="cellIs" dxfId="31" priority="8" operator="equal">
      <formula>"Media"</formula>
    </cfRule>
    <cfRule type="cellIs" dxfId="30" priority="9" operator="equal">
      <formula>"Muy Alta"</formula>
    </cfRule>
    <cfRule type="cellIs" dxfId="29" priority="10" operator="equal">
      <formula>"Alta"</formula>
    </cfRule>
  </conditionalFormatting>
  <conditionalFormatting sqref="AJ17:AJ21">
    <cfRule type="cellIs" dxfId="28" priority="1" operator="equal">
      <formula>"Catastrófico"</formula>
    </cfRule>
    <cfRule type="cellIs" dxfId="27" priority="2" operator="equal">
      <formula>"Mayor"</formula>
    </cfRule>
    <cfRule type="cellIs" dxfId="26" priority="3" operator="equal">
      <formula>"Moderado"</formula>
    </cfRule>
    <cfRule type="cellIs" dxfId="25" priority="4" operator="equal">
      <formula>"Menor"</formula>
    </cfRule>
    <cfRule type="cellIs" dxfId="24" priority="5" operator="equal">
      <formula>"Leve"</formula>
    </cfRule>
  </conditionalFormatting>
  <hyperlinks>
    <hyperlink ref="A14:O15" location="Instructivo!A1" display="IDENTIFICACIÓN DEL RIESGO" xr:uid="{881C56AA-D077-4DE4-A5EA-11E38B8E9B1E}"/>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EC3B-7332-4C34-A0C8-E97F17E2FC48}">
  <sheetPr>
    <tabColor theme="0"/>
    <pageSetUpPr fitToPage="1"/>
  </sheetPr>
  <dimension ref="A1:BA27"/>
  <sheetViews>
    <sheetView showGridLines="0" zoomScale="70" zoomScaleNormal="70" workbookViewId="0">
      <selection activeCell="D12" sqref="D12:M12"/>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88671875" customWidth="1"/>
    <col min="12" max="12" width="20.109375"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23" width="46.6640625" style="1" customWidth="1"/>
    <col min="24" max="24" width="15.88671875" style="1" customWidth="1"/>
    <col min="25" max="27" width="10.33203125" style="1" customWidth="1"/>
    <col min="28" max="28" width="6" style="1" customWidth="1"/>
    <col min="29" max="29" width="13.6640625" style="1" customWidth="1"/>
    <col min="30" max="30" width="7.5546875" style="1" customWidth="1"/>
    <col min="31" max="31" width="5.6640625" style="1" customWidth="1"/>
    <col min="32" max="32" width="22.33203125"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5546875" style="4" customWidth="1"/>
    <col min="41" max="41" width="1" style="4" customWidth="1"/>
    <col min="42" max="42" width="26.88671875" style="4" customWidth="1"/>
    <col min="43" max="43" width="26.6640625" style="1" customWidth="1"/>
    <col min="44" max="44" width="20.88671875" style="1" customWidth="1"/>
    <col min="45" max="45" width="1" customWidth="1"/>
    <col min="46" max="46" width="18.33203125" customWidth="1"/>
    <col min="47" max="50" width="45" customWidth="1"/>
    <col min="51" max="51" width="1" customWidth="1"/>
    <col min="52" max="53" width="4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4</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399999999999999"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105</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45828</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13" t="s">
        <v>10</v>
      </c>
      <c r="E10" s="214"/>
      <c r="F10" s="214"/>
      <c r="G10" s="214"/>
      <c r="H10" s="214"/>
      <c r="I10" s="214"/>
      <c r="J10" s="214"/>
      <c r="K10" s="214"/>
      <c r="L10" s="214"/>
      <c r="M10" s="215"/>
      <c r="N10" s="21"/>
      <c r="AN10" s="1"/>
      <c r="AO10" s="1"/>
      <c r="AP10" s="1"/>
    </row>
    <row r="11" spans="1:53" s="3" customFormat="1" ht="75" customHeight="1" x14ac:dyDescent="0.3">
      <c r="A11" s="194" t="s">
        <v>11</v>
      </c>
      <c r="B11" s="194"/>
      <c r="C11" s="194"/>
      <c r="D11" s="195" t="s">
        <v>12</v>
      </c>
      <c r="E11" s="214"/>
      <c r="F11" s="214"/>
      <c r="G11" s="214"/>
      <c r="H11" s="214"/>
      <c r="I11" s="214"/>
      <c r="J11" s="214"/>
      <c r="K11" s="214"/>
      <c r="L11" s="214"/>
      <c r="M11" s="215"/>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94" t="s">
        <v>13</v>
      </c>
      <c r="B12" s="194"/>
      <c r="C12" s="194"/>
      <c r="D12" s="195" t="s">
        <v>14</v>
      </c>
      <c r="E12" s="196"/>
      <c r="F12" s="196"/>
      <c r="G12" s="196"/>
      <c r="H12" s="196"/>
      <c r="I12" s="196"/>
      <c r="J12" s="196"/>
      <c r="K12" s="196"/>
      <c r="L12" s="196"/>
      <c r="M12" s="197"/>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66" t="s">
        <v>15</v>
      </c>
      <c r="B14" s="167"/>
      <c r="C14" s="167"/>
      <c r="D14" s="167"/>
      <c r="E14" s="167"/>
      <c r="F14" s="167"/>
      <c r="G14" s="167"/>
      <c r="H14" s="167"/>
      <c r="I14" s="167"/>
      <c r="J14" s="167"/>
      <c r="K14" s="167"/>
      <c r="L14" s="167"/>
      <c r="M14" s="167"/>
      <c r="N14" s="168"/>
      <c r="O14" s="169"/>
      <c r="P14" s="2"/>
      <c r="Q14" s="174" t="s">
        <v>16</v>
      </c>
      <c r="R14" s="175"/>
      <c r="S14" s="175"/>
      <c r="T14" s="175"/>
      <c r="U14" s="175"/>
      <c r="V14" s="175"/>
      <c r="W14" s="175"/>
      <c r="X14" s="175"/>
      <c r="Y14" s="176"/>
      <c r="Z14" s="176"/>
      <c r="AA14" s="176"/>
      <c r="AB14" s="176"/>
      <c r="AC14" s="176"/>
      <c r="AD14" s="176"/>
      <c r="AE14" s="176"/>
      <c r="AF14" s="175"/>
      <c r="AG14" s="175"/>
      <c r="AH14" s="175"/>
      <c r="AI14" s="175"/>
      <c r="AJ14" s="175"/>
      <c r="AK14" s="175"/>
      <c r="AL14" s="175"/>
      <c r="AM14" s="175"/>
      <c r="AN14" s="177"/>
      <c r="AO14" s="2"/>
      <c r="AP14" s="178" t="s">
        <v>17</v>
      </c>
      <c r="AQ14" s="179"/>
      <c r="AR14" s="180"/>
      <c r="AT14" s="184" t="s">
        <v>18</v>
      </c>
      <c r="AU14" s="185"/>
      <c r="AV14" s="185"/>
      <c r="AW14" s="185"/>
      <c r="AX14" s="186"/>
      <c r="AY14" s="27"/>
      <c r="AZ14" s="178" t="s">
        <v>19</v>
      </c>
      <c r="BA14" s="180"/>
    </row>
    <row r="15" spans="1:53" x14ac:dyDescent="0.3">
      <c r="A15" s="170"/>
      <c r="B15" s="171"/>
      <c r="C15" s="171"/>
      <c r="D15" s="171"/>
      <c r="E15" s="171"/>
      <c r="F15" s="171"/>
      <c r="G15" s="171"/>
      <c r="H15" s="171"/>
      <c r="I15" s="171"/>
      <c r="J15" s="171"/>
      <c r="K15" s="171"/>
      <c r="L15" s="171"/>
      <c r="M15" s="171"/>
      <c r="N15" s="172"/>
      <c r="O15" s="173"/>
      <c r="P15" s="2"/>
      <c r="Q15" s="23"/>
      <c r="R15" s="24"/>
      <c r="S15" s="24"/>
      <c r="T15" s="24"/>
      <c r="U15" s="24"/>
      <c r="V15" s="24"/>
      <c r="W15" s="24"/>
      <c r="X15" s="24"/>
      <c r="Y15" s="189" t="s">
        <v>20</v>
      </c>
      <c r="Z15" s="190"/>
      <c r="AA15" s="191"/>
      <c r="AB15" s="189" t="s">
        <v>21</v>
      </c>
      <c r="AC15" s="190"/>
      <c r="AD15" s="190"/>
      <c r="AE15" s="190"/>
      <c r="AF15" s="191"/>
      <c r="AG15" s="192"/>
      <c r="AH15" s="192"/>
      <c r="AI15" s="192"/>
      <c r="AJ15" s="192"/>
      <c r="AK15" s="192"/>
      <c r="AL15" s="192"/>
      <c r="AM15" s="192"/>
      <c r="AN15" s="193"/>
      <c r="AO15" s="2"/>
      <c r="AP15" s="181"/>
      <c r="AQ15" s="182"/>
      <c r="AR15" s="183"/>
      <c r="AT15" s="187"/>
      <c r="AU15" s="182"/>
      <c r="AV15" s="182"/>
      <c r="AW15" s="182"/>
      <c r="AX15" s="188"/>
      <c r="AY15" s="27"/>
      <c r="AZ15" s="181"/>
      <c r="BA15" s="183"/>
    </row>
    <row r="16" spans="1:53" s="5" customFormat="1" ht="166.5" customHeight="1" x14ac:dyDescent="0.3">
      <c r="A16" s="9" t="s">
        <v>22</v>
      </c>
      <c r="B16" s="10" t="s">
        <v>23</v>
      </c>
      <c r="C16" s="11" t="s">
        <v>24</v>
      </c>
      <c r="D16" s="11" t="s">
        <v>25</v>
      </c>
      <c r="E16" s="12" t="s">
        <v>26</v>
      </c>
      <c r="F16" s="19" t="s">
        <v>27</v>
      </c>
      <c r="G16" s="29" t="s">
        <v>28</v>
      </c>
      <c r="H16" s="12" t="s">
        <v>29</v>
      </c>
      <c r="I16" s="11" t="s">
        <v>30</v>
      </c>
      <c r="J16" s="11" t="s">
        <v>31</v>
      </c>
      <c r="K16" s="12" t="s">
        <v>32</v>
      </c>
      <c r="L16" s="12" t="s">
        <v>33</v>
      </c>
      <c r="M16" s="11" t="s">
        <v>30</v>
      </c>
      <c r="N16" s="11" t="s">
        <v>34</v>
      </c>
      <c r="O16" s="13" t="s">
        <v>35</v>
      </c>
      <c r="P16" s="2"/>
      <c r="Q16" s="14" t="s">
        <v>36</v>
      </c>
      <c r="R16" s="95" t="s">
        <v>37</v>
      </c>
      <c r="S16" s="95" t="s">
        <v>38</v>
      </c>
      <c r="T16" s="95" t="s">
        <v>39</v>
      </c>
      <c r="U16" s="95" t="s">
        <v>40</v>
      </c>
      <c r="V16" s="95" t="s">
        <v>41</v>
      </c>
      <c r="W16" s="95" t="s">
        <v>42</v>
      </c>
      <c r="X16" s="25" t="s">
        <v>43</v>
      </c>
      <c r="Y16" s="44" t="s">
        <v>44</v>
      </c>
      <c r="Z16" s="44" t="s">
        <v>45</v>
      </c>
      <c r="AA16" s="16" t="s">
        <v>46</v>
      </c>
      <c r="AB16" s="161" t="s">
        <v>47</v>
      </c>
      <c r="AC16" s="162"/>
      <c r="AD16" s="16" t="s">
        <v>48</v>
      </c>
      <c r="AE16" s="161" t="s">
        <v>49</v>
      </c>
      <c r="AF16" s="162"/>
      <c r="AG16" s="17" t="s">
        <v>50</v>
      </c>
      <c r="AH16" s="17" t="s">
        <v>51</v>
      </c>
      <c r="AI16" s="17" t="s">
        <v>30</v>
      </c>
      <c r="AJ16" s="17" t="s">
        <v>52</v>
      </c>
      <c r="AK16" s="17" t="s">
        <v>30</v>
      </c>
      <c r="AL16" s="17" t="s">
        <v>34</v>
      </c>
      <c r="AM16" s="17" t="s">
        <v>53</v>
      </c>
      <c r="AN16" s="13" t="s">
        <v>54</v>
      </c>
      <c r="AO16" s="2"/>
      <c r="AP16" s="18" t="s">
        <v>55</v>
      </c>
      <c r="AQ16" s="15" t="s">
        <v>56</v>
      </c>
      <c r="AR16" s="26" t="s">
        <v>57</v>
      </c>
      <c r="AT16" s="40" t="s">
        <v>58</v>
      </c>
      <c r="AU16" s="42" t="s">
        <v>59</v>
      </c>
      <c r="AV16" s="42" t="s">
        <v>60</v>
      </c>
      <c r="AW16" s="42" t="s">
        <v>61</v>
      </c>
      <c r="AX16" s="41" t="s">
        <v>62</v>
      </c>
      <c r="AY16" s="28"/>
      <c r="AZ16" s="43" t="s">
        <v>63</v>
      </c>
      <c r="BA16" s="96" t="s">
        <v>64</v>
      </c>
    </row>
    <row r="17" spans="1:53" ht="353.25" customHeight="1" x14ac:dyDescent="0.3">
      <c r="A17" s="72">
        <v>2</v>
      </c>
      <c r="B17" s="100" t="s">
        <v>106</v>
      </c>
      <c r="C17" s="125" t="s">
        <v>107</v>
      </c>
      <c r="D17" s="125" t="s">
        <v>108</v>
      </c>
      <c r="E17" s="105" t="s">
        <v>109</v>
      </c>
      <c r="F17" s="97"/>
      <c r="G17" s="72">
        <v>365</v>
      </c>
      <c r="H17" s="106" t="str">
        <f>IF(G17&lt;=0,"",IF(G17&lt;=2,"Muy Baja",IF(G17&lt;=24,"Baja",IF(G17&lt;=500,"Media",IF(G17&lt;=5000,"Alta","Muy Alta")))))</f>
        <v>Media</v>
      </c>
      <c r="I17" s="107">
        <f>IF(H17="","",IF(H17="Muy Baja",0.2,IF(H17="Baja",0.4,IF(H17="Media",0.6,IF(H17="Alta",0.8,IF(H17="Muy Alta",1,))))))</f>
        <v>0.6</v>
      </c>
      <c r="J17" s="108" t="s">
        <v>110</v>
      </c>
      <c r="K17" s="109" t="str">
        <f>+J17</f>
        <v>Afectación Menor o igual a 700 SMLMV</v>
      </c>
      <c r="L17" s="106" t="e">
        <f>+VLOOKUP(K17,#REF!,2,FALSE)</f>
        <v>#REF!</v>
      </c>
      <c r="M17" s="107" t="e">
        <f>IF(L17="","",IF(L17="Leve",0.2,IF(L17="Menor",0.4,IF(L17="Moderado",0.6,IF(L17="Mayor",0.8,IF(L17="Catastrófico",1,))))))</f>
        <v>#REF!</v>
      </c>
      <c r="N17" s="107" t="e">
        <f>+CONCATENATE(H17, " - ", L17)</f>
        <v>#REF!</v>
      </c>
      <c r="O17" s="98" t="e">
        <f>+VLOOKUP(N17,#REF!,2,)</f>
        <v>#REF!</v>
      </c>
      <c r="P17" s="99"/>
      <c r="Q17" s="100">
        <v>1</v>
      </c>
      <c r="R17" s="71" t="s">
        <v>111</v>
      </c>
      <c r="S17" s="142" t="s">
        <v>112</v>
      </c>
      <c r="T17" s="71" t="s">
        <v>113</v>
      </c>
      <c r="U17" s="71" t="s">
        <v>114</v>
      </c>
      <c r="V17" s="71" t="s">
        <v>115</v>
      </c>
      <c r="W17" s="71" t="s">
        <v>116</v>
      </c>
      <c r="X17" s="30" t="str">
        <f>IF(OR(Y17="Preventivo",Y17="Detectivo"),"Probabilidad",IF(Y17="Correctivo","Impacto",""))</f>
        <v>Probabilidad</v>
      </c>
      <c r="Y17" s="6" t="s">
        <v>76</v>
      </c>
      <c r="Z17" s="6" t="s">
        <v>77</v>
      </c>
      <c r="AA17" s="31" t="str">
        <f t="shared" ref="AA17" si="0">IF(AND(Y17="Preventivo",Z17="Automático"),"50%",IF(AND(Y17="Preventivo",Z17="Manual"),"40%",IF(AND(Y17="Detectivo",Z17="Automático"),"40%",IF(AND(Y17="Detectivo",Z17="Manual"),"30%",IF(AND(Y17="Correctivo",Z17="Automático"),"35%",IF(AND(Y17="Correctivo",Z17="Manual"),"25%",""))))))</f>
        <v>40%</v>
      </c>
      <c r="AB17" s="8" t="s">
        <v>78</v>
      </c>
      <c r="AC17" s="8" t="s">
        <v>117</v>
      </c>
      <c r="AD17" s="6" t="s">
        <v>99</v>
      </c>
      <c r="AE17" s="8" t="s">
        <v>81</v>
      </c>
      <c r="AF17" s="8" t="str">
        <f>+W17</f>
        <v>*Verificación de requisitos para la posesión en planta A-GDH-FT-054
* Certificación ARL
*Correo electrónico de notificación (cuando aplique).</v>
      </c>
      <c r="AG17" s="32">
        <f>IFERROR(IF(X17="Probabilidad",(I17-(+I17*AA17)),IF(X17="Impacto",I17,"")),"")</f>
        <v>0.36</v>
      </c>
      <c r="AH17" s="33" t="str">
        <f t="shared" ref="AH17" si="1">IFERROR(IF(AG17="","",IF(AG17&lt;=0.2,"Muy Baja",IF(AG17&lt;=0.4,"Baja",IF(AG17&lt;=0.6,"Media",IF(AG17&lt;=0.8,"Alta","Muy Alta"))))),"")</f>
        <v>Baja</v>
      </c>
      <c r="AI17" s="34">
        <f>I17-(AA17*I17)</f>
        <v>0.36</v>
      </c>
      <c r="AJ17" s="35" t="str">
        <f t="shared" ref="AJ17" si="2">IFERROR(IF(AK17="","",IF(AK17&lt;=0.2,"Leve",IF(AK17&lt;=0.4,"Menor",IF(AK17&lt;=0.6,"Moderado",IF(AK17&lt;=0.8,"Mayor","Catastrófico"))))),"")</f>
        <v/>
      </c>
      <c r="AK17" s="32" t="str">
        <f>IFERROR(IF(X17="Impacto",(M17-(+M17*AA17)),IF(X17="Probabilidad",M17,"")),"")</f>
        <v/>
      </c>
      <c r="AL17" s="36" t="str">
        <f>+CONCATENATE(AH17, " - ", AJ17)</f>
        <v xml:space="preserve">Baja - </v>
      </c>
      <c r="AM17" s="37" t="e">
        <f>+VLOOKUP(AL17,#REF!,2,)</f>
        <v>#REF!</v>
      </c>
      <c r="AN17" s="101" t="s">
        <v>82</v>
      </c>
      <c r="AO17" s="99"/>
      <c r="AP17" s="75" t="s">
        <v>118</v>
      </c>
      <c r="AQ17" s="75" t="s">
        <v>119</v>
      </c>
      <c r="AR17" s="110">
        <v>46265</v>
      </c>
      <c r="AS17" s="102"/>
      <c r="AT17" s="103">
        <v>46148</v>
      </c>
      <c r="AU17" s="132" t="s">
        <v>120</v>
      </c>
      <c r="AV17" s="132" t="s">
        <v>121</v>
      </c>
      <c r="AW17" s="132" t="s">
        <v>88</v>
      </c>
      <c r="AX17" s="134" t="s">
        <v>122</v>
      </c>
      <c r="AY17" s="104"/>
      <c r="AZ17" s="141" t="s">
        <v>123</v>
      </c>
      <c r="BA17" s="145" t="s">
        <v>124</v>
      </c>
    </row>
    <row r="18" spans="1:53" ht="93.75" customHeight="1" x14ac:dyDescent="0.3">
      <c r="B18" s="51"/>
      <c r="C18" s="52"/>
      <c r="D18" s="52"/>
      <c r="E18" s="52"/>
      <c r="F18" s="52"/>
      <c r="G18" s="51"/>
      <c r="H18" s="51"/>
      <c r="I18" s="53"/>
      <c r="J18" s="54"/>
      <c r="K18" s="55"/>
      <c r="L18" s="51"/>
      <c r="M18" s="53"/>
      <c r="N18" s="53"/>
      <c r="O18" s="56"/>
      <c r="P18" s="57"/>
      <c r="Q18" s="58"/>
      <c r="R18" s="59"/>
      <c r="S18" s="59"/>
      <c r="T18" s="59"/>
      <c r="U18" s="59"/>
      <c r="V18" s="59"/>
      <c r="W18" s="59"/>
      <c r="X18" s="58"/>
      <c r="Y18" s="60"/>
      <c r="Z18" s="60"/>
      <c r="AA18" s="61"/>
      <c r="AB18" s="62"/>
      <c r="AC18" s="63"/>
      <c r="AD18" s="60"/>
      <c r="AE18" s="62"/>
      <c r="AF18" s="62"/>
      <c r="AG18" s="64"/>
      <c r="AH18" s="60"/>
      <c r="AI18" s="65"/>
      <c r="AJ18" s="66"/>
      <c r="AK18" s="64"/>
      <c r="AL18" s="67"/>
      <c r="AM18" s="68"/>
      <c r="AN18" s="69"/>
      <c r="AO18" s="57"/>
      <c r="AP18" s="70"/>
      <c r="AQ18" s="74"/>
      <c r="AR18" s="74"/>
      <c r="AT18" s="45"/>
      <c r="AV18" s="47"/>
      <c r="AW18" s="48"/>
      <c r="AX18" s="49"/>
      <c r="AY18" s="27"/>
      <c r="AZ18" s="47"/>
      <c r="BA18" s="50"/>
    </row>
    <row r="19" spans="1:53" ht="20.399999999999999" x14ac:dyDescent="0.3">
      <c r="A19" s="152" t="s">
        <v>103</v>
      </c>
      <c r="B19" s="152"/>
      <c r="C19" s="152"/>
      <c r="D19" s="152"/>
      <c r="E19" s="152"/>
      <c r="F19" s="152"/>
      <c r="G19" s="152"/>
      <c r="H19" s="152"/>
      <c r="P19" s="2"/>
      <c r="AU19" s="131" t="s">
        <v>125</v>
      </c>
      <c r="BA19" s="39" t="s">
        <v>104</v>
      </c>
    </row>
    <row r="20" spans="1:53" x14ac:dyDescent="0.3">
      <c r="P20" s="2"/>
    </row>
    <row r="21" spans="1:53" x14ac:dyDescent="0.3">
      <c r="P21" s="2"/>
    </row>
    <row r="22" spans="1:53" x14ac:dyDescent="0.3">
      <c r="P22" s="2"/>
    </row>
    <row r="23" spans="1:53" x14ac:dyDescent="0.3">
      <c r="P23" s="2"/>
    </row>
    <row r="24" spans="1:53" x14ac:dyDescent="0.3">
      <c r="P24" s="2"/>
    </row>
    <row r="25" spans="1:53" x14ac:dyDescent="0.3">
      <c r="P25" s="2"/>
    </row>
    <row r="26" spans="1:53" x14ac:dyDescent="0.3">
      <c r="P26" s="2"/>
    </row>
    <row r="27" spans="1:53" x14ac:dyDescent="0.3">
      <c r="P27" s="2"/>
    </row>
  </sheetData>
  <mergeCells count="28">
    <mergeCell ref="A1:B8"/>
    <mergeCell ref="C1:AW4"/>
    <mergeCell ref="AX1:AY2"/>
    <mergeCell ref="AZ1:BA2"/>
    <mergeCell ref="AX3:AY4"/>
    <mergeCell ref="AZ3:BA4"/>
    <mergeCell ref="C5:AW8"/>
    <mergeCell ref="AX5:AY6"/>
    <mergeCell ref="AZ5:BA6"/>
    <mergeCell ref="AX7:AY8"/>
    <mergeCell ref="A10:C10"/>
    <mergeCell ref="D10:M10"/>
    <mergeCell ref="A11:C11"/>
    <mergeCell ref="D11:M11"/>
    <mergeCell ref="A12:C12"/>
    <mergeCell ref="D12:M12"/>
    <mergeCell ref="AZ14:BA15"/>
    <mergeCell ref="Y15:AA15"/>
    <mergeCell ref="AB15:AF15"/>
    <mergeCell ref="AG15:AN15"/>
    <mergeCell ref="AZ7:BA8"/>
    <mergeCell ref="A19:H19"/>
    <mergeCell ref="A14:O15"/>
    <mergeCell ref="Q14:AN14"/>
    <mergeCell ref="AP14:AR15"/>
    <mergeCell ref="AT14:AX15"/>
    <mergeCell ref="AB16:AC16"/>
    <mergeCell ref="AE16:AF16"/>
  </mergeCells>
  <conditionalFormatting sqref="H17:H18">
    <cfRule type="cellIs" dxfId="471" priority="25" operator="equal">
      <formula>"Muy Alta"</formula>
    </cfRule>
    <cfRule type="cellIs" dxfId="470" priority="26" operator="equal">
      <formula>"Alta"</formula>
    </cfRule>
    <cfRule type="cellIs" dxfId="469" priority="27" operator="equal">
      <formula>"Media"</formula>
    </cfRule>
    <cfRule type="cellIs" dxfId="468" priority="28" operator="equal">
      <formula>"Muy Baja"</formula>
    </cfRule>
    <cfRule type="cellIs" dxfId="467" priority="29" operator="equal">
      <formula>"Baja"</formula>
    </cfRule>
  </conditionalFormatting>
  <conditionalFormatting sqref="L17:L18">
    <cfRule type="cellIs" dxfId="466" priority="20" operator="equal">
      <formula>"Leve"</formula>
    </cfRule>
    <cfRule type="cellIs" dxfId="465" priority="21" operator="equal">
      <formula>"Catastrófico"</formula>
    </cfRule>
    <cfRule type="cellIs" dxfId="464" priority="22" operator="equal">
      <formula>"Mayor"</formula>
    </cfRule>
    <cfRule type="cellIs" dxfId="463" priority="23" operator="equal">
      <formula>"Moderado"</formula>
    </cfRule>
    <cfRule type="cellIs" dxfId="462" priority="24" operator="equal">
      <formula>"Menor"</formula>
    </cfRule>
  </conditionalFormatting>
  <conditionalFormatting sqref="O17:O18 AM17:AM18">
    <cfRule type="cellIs" dxfId="461" priority="16" operator="equal">
      <formula>"EXTREMO"</formula>
    </cfRule>
    <cfRule type="cellIs" dxfId="460" priority="17" operator="equal">
      <formula>"ALTO"</formula>
    </cfRule>
    <cfRule type="cellIs" dxfId="459" priority="18" operator="equal">
      <formula>"BAJO"</formula>
    </cfRule>
    <cfRule type="cellIs" dxfId="458" priority="19" operator="equal">
      <formula>"MODERADO"</formula>
    </cfRule>
  </conditionalFormatting>
  <conditionalFormatting sqref="AH17:AH18">
    <cfRule type="cellIs" dxfId="457" priority="10" operator="equal">
      <formula>"Muy Baja"</formula>
    </cfRule>
    <cfRule type="cellIs" dxfId="456" priority="11" operator="equal">
      <formula>"Baja"</formula>
    </cfRule>
    <cfRule type="cellIs" dxfId="455" priority="12" operator="equal">
      <formula>"Media"</formula>
    </cfRule>
    <cfRule type="cellIs" dxfId="454" priority="13" operator="equal">
      <formula>"Muy Alta"</formula>
    </cfRule>
    <cfRule type="cellIs" dxfId="453" priority="14" operator="equal">
      <formula>"Alta"</formula>
    </cfRule>
  </conditionalFormatting>
  <conditionalFormatting sqref="AJ17:AJ18">
    <cfRule type="cellIs" dxfId="452" priority="5" operator="equal">
      <formula>"Catastrófico"</formula>
    </cfRule>
    <cfRule type="cellIs" dxfId="451" priority="6" operator="equal">
      <formula>"Mayor"</formula>
    </cfRule>
    <cfRule type="cellIs" dxfId="450" priority="7" operator="equal">
      <formula>"Moderado"</formula>
    </cfRule>
    <cfRule type="cellIs" dxfId="449" priority="8" operator="equal">
      <formula>"Menor"</formula>
    </cfRule>
    <cfRule type="cellIs" dxfId="448" priority="9" operator="equal">
      <formula>"Leve"</formula>
    </cfRule>
  </conditionalFormatting>
  <hyperlinks>
    <hyperlink ref="A14:O15" location="Instructivo!A1" display="IDENTIFICACIÓN DEL RIESGO" xr:uid="{9A8A174F-13B5-405B-9BE4-D3E7A977F727}"/>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ignoredErrors>
    <ignoredError sqref="AZ3" numberStoredAsText="1"/>
  </ignoredError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36BC4606-4692-4E8C-B6B9-56C25C09F842}">
          <x14:formula1>
            <xm:f>#REF!</xm:f>
          </x14:formula1>
          <xm:sqref>B18</xm:sqref>
        </x14:dataValidation>
        <x14:dataValidation type="list" allowBlank="1" showInputMessage="1" showErrorMessage="1" xr:uid="{1C271E21-0C13-4CE0-AC1D-704F065762CC}">
          <x14:formula1>
            <xm:f>#REF!</xm:f>
          </x14:formula1>
          <xm:sqref>J17:J18</xm:sqref>
        </x14:dataValidation>
        <x14:dataValidation type="list" allowBlank="1" showInputMessage="1" showErrorMessage="1" xr:uid="{7E385074-FCC3-447C-BE62-7DA39EEF346C}">
          <x14:formula1>
            <xm:f>#REF!</xm:f>
          </x14:formula1>
          <xm:sqref>Y17:Y18</xm:sqref>
        </x14:dataValidation>
        <x14:dataValidation type="list" allowBlank="1" showInputMessage="1" showErrorMessage="1" xr:uid="{074425DC-9982-447D-9AA6-38EBEDBFCE06}">
          <x14:formula1>
            <xm:f>#REF!</xm:f>
          </x14:formula1>
          <xm:sqref>Z17:Z18</xm:sqref>
        </x14:dataValidation>
        <x14:dataValidation type="list" allowBlank="1" showInputMessage="1" showErrorMessage="1" xr:uid="{66899A4A-FC03-4C3E-A647-B968F65F688D}">
          <x14:formula1>
            <xm:f>#REF!</xm:f>
          </x14:formula1>
          <xm:sqref>F17:F18</xm:sqref>
        </x14:dataValidation>
        <x14:dataValidation type="list" allowBlank="1" showInputMessage="1" showErrorMessage="1" xr:uid="{26AFA87D-2A38-4D49-A571-297B293C4938}">
          <x14:formula1>
            <xm:f>#REF!</xm:f>
          </x14:formula1>
          <xm:sqref>AB17:AB18</xm:sqref>
        </x14:dataValidation>
        <x14:dataValidation type="list" allowBlank="1" showInputMessage="1" showErrorMessage="1" xr:uid="{35465EF9-18AF-4B33-A351-185EF858A09B}">
          <x14:formula1>
            <xm:f>#REF!</xm:f>
          </x14:formula1>
          <xm:sqref>AD17:AD18</xm:sqref>
        </x14:dataValidation>
        <x14:dataValidation type="list" allowBlank="1" showInputMessage="1" showErrorMessage="1" xr:uid="{F7F6D111-7948-42CB-AF23-60A2E37E0021}">
          <x14:formula1>
            <xm:f>#REF!</xm:f>
          </x14:formula1>
          <xm:sqref>AE17:AE18</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FC946-1F0D-4440-B823-BD6BB2089A98}">
  <sheetPr>
    <tabColor theme="0"/>
    <pageSetUpPr fitToPage="1"/>
  </sheetPr>
  <dimension ref="A1:BA32"/>
  <sheetViews>
    <sheetView showGridLines="0" tabSelected="1" topLeftCell="AN17" zoomScale="70" zoomScaleNormal="70" zoomScaleSheetLayoutView="70" workbookViewId="0">
      <selection activeCell="AV17" sqref="AV17:AV22"/>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88671875" customWidth="1"/>
    <col min="12" max="12" width="20.109375" style="1" customWidth="1"/>
    <col min="13" max="13" width="9.44140625" style="1" customWidth="1"/>
    <col min="14" max="14" width="26.88671875" style="1" customWidth="1"/>
    <col min="15" max="15" width="11.33203125" style="1" customWidth="1"/>
    <col min="16" max="16" width="1" style="1" customWidth="1"/>
    <col min="17" max="17" width="5.109375" style="508" customWidth="1"/>
    <col min="18" max="23" width="46.6640625" style="1" customWidth="1"/>
    <col min="24" max="24" width="15.88671875" style="1" customWidth="1"/>
    <col min="25" max="27" width="10.33203125" style="1" customWidth="1"/>
    <col min="28" max="28" width="6" style="1" customWidth="1"/>
    <col min="29" max="29" width="13.6640625" style="1" customWidth="1"/>
    <col min="30" max="30" width="7.5546875" style="1" customWidth="1"/>
    <col min="31" max="31" width="5.6640625" style="1" customWidth="1"/>
    <col min="32" max="32" width="32.5546875"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5546875" style="4" customWidth="1"/>
    <col min="41" max="41" width="1" style="4" customWidth="1"/>
    <col min="42" max="42" width="26.88671875" style="4" customWidth="1"/>
    <col min="43" max="43" width="26.6640625" style="1" customWidth="1"/>
    <col min="44" max="44" width="20.88671875" style="1" customWidth="1"/>
    <col min="45" max="45" width="1" customWidth="1"/>
    <col min="46" max="46" width="18.33203125" customWidth="1"/>
    <col min="47" max="50" width="45" customWidth="1"/>
    <col min="51" max="51" width="1" customWidth="1"/>
    <col min="52" max="53" width="4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4</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399999999999999"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797</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45828</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29" t="s">
        <v>798</v>
      </c>
      <c r="E10" s="230"/>
      <c r="F10" s="230"/>
      <c r="G10" s="230"/>
      <c r="H10" s="230"/>
      <c r="I10" s="230"/>
      <c r="J10" s="230"/>
      <c r="K10" s="230"/>
      <c r="L10" s="230"/>
      <c r="M10" s="231"/>
      <c r="N10" s="21"/>
      <c r="AN10" s="1"/>
      <c r="AO10" s="1"/>
      <c r="AP10" s="1"/>
    </row>
    <row r="11" spans="1:53" s="3" customFormat="1" ht="75" customHeight="1" x14ac:dyDescent="0.3">
      <c r="A11" s="194" t="s">
        <v>11</v>
      </c>
      <c r="B11" s="194"/>
      <c r="C11" s="194"/>
      <c r="D11" s="233" t="s">
        <v>799</v>
      </c>
      <c r="E11" s="234"/>
      <c r="F11" s="234"/>
      <c r="G11" s="234"/>
      <c r="H11" s="234"/>
      <c r="I11" s="234"/>
      <c r="J11" s="234"/>
      <c r="K11" s="234"/>
      <c r="L11" s="234"/>
      <c r="M11" s="235"/>
      <c r="N11" s="22"/>
      <c r="O11" s="2"/>
      <c r="P11" s="2"/>
      <c r="Q11" s="509"/>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94" t="s">
        <v>13</v>
      </c>
      <c r="B12" s="194"/>
      <c r="C12" s="194"/>
      <c r="D12" s="233" t="s">
        <v>800</v>
      </c>
      <c r="E12" s="234"/>
      <c r="F12" s="234"/>
      <c r="G12" s="234"/>
      <c r="H12" s="234"/>
      <c r="I12" s="234"/>
      <c r="J12" s="234"/>
      <c r="K12" s="234"/>
      <c r="L12" s="234"/>
      <c r="M12" s="235"/>
      <c r="N12" s="22"/>
      <c r="O12" s="2"/>
      <c r="P12" s="2"/>
      <c r="Q12" s="509"/>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509"/>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66" t="s">
        <v>15</v>
      </c>
      <c r="B14" s="167"/>
      <c r="C14" s="167"/>
      <c r="D14" s="167"/>
      <c r="E14" s="167"/>
      <c r="F14" s="167"/>
      <c r="G14" s="167"/>
      <c r="H14" s="167"/>
      <c r="I14" s="167"/>
      <c r="J14" s="167"/>
      <c r="K14" s="167"/>
      <c r="L14" s="167"/>
      <c r="M14" s="167"/>
      <c r="N14" s="168"/>
      <c r="O14" s="169"/>
      <c r="P14" s="2"/>
      <c r="Q14" s="174" t="s">
        <v>16</v>
      </c>
      <c r="R14" s="175"/>
      <c r="S14" s="175"/>
      <c r="T14" s="175"/>
      <c r="U14" s="175"/>
      <c r="V14" s="175"/>
      <c r="W14" s="175"/>
      <c r="X14" s="175"/>
      <c r="Y14" s="176"/>
      <c r="Z14" s="176"/>
      <c r="AA14" s="176"/>
      <c r="AB14" s="176"/>
      <c r="AC14" s="176"/>
      <c r="AD14" s="176"/>
      <c r="AE14" s="176"/>
      <c r="AF14" s="175"/>
      <c r="AG14" s="175"/>
      <c r="AH14" s="175"/>
      <c r="AI14" s="175"/>
      <c r="AJ14" s="175"/>
      <c r="AK14" s="175"/>
      <c r="AL14" s="175"/>
      <c r="AM14" s="175"/>
      <c r="AN14" s="177"/>
      <c r="AO14" s="2"/>
      <c r="AP14" s="178" t="s">
        <v>17</v>
      </c>
      <c r="AQ14" s="179"/>
      <c r="AR14" s="180"/>
      <c r="AT14" s="184" t="s">
        <v>18</v>
      </c>
      <c r="AU14" s="185"/>
      <c r="AV14" s="185"/>
      <c r="AW14" s="185"/>
      <c r="AX14" s="186"/>
      <c r="AY14" s="27"/>
      <c r="AZ14" s="178" t="s">
        <v>19</v>
      </c>
      <c r="BA14" s="180"/>
    </row>
    <row r="15" spans="1:53" x14ac:dyDescent="0.3">
      <c r="A15" s="170"/>
      <c r="B15" s="171"/>
      <c r="C15" s="171"/>
      <c r="D15" s="171"/>
      <c r="E15" s="171"/>
      <c r="F15" s="171"/>
      <c r="G15" s="171"/>
      <c r="H15" s="171"/>
      <c r="I15" s="171"/>
      <c r="J15" s="171"/>
      <c r="K15" s="171"/>
      <c r="L15" s="171"/>
      <c r="M15" s="171"/>
      <c r="N15" s="172"/>
      <c r="O15" s="173"/>
      <c r="P15" s="2"/>
      <c r="Q15" s="510"/>
      <c r="R15" s="24"/>
      <c r="S15" s="24"/>
      <c r="T15" s="24"/>
      <c r="U15" s="24"/>
      <c r="V15" s="24"/>
      <c r="W15" s="24"/>
      <c r="X15" s="24"/>
      <c r="Y15" s="189" t="s">
        <v>20</v>
      </c>
      <c r="Z15" s="190"/>
      <c r="AA15" s="191"/>
      <c r="AB15" s="189" t="s">
        <v>21</v>
      </c>
      <c r="AC15" s="190"/>
      <c r="AD15" s="190"/>
      <c r="AE15" s="190"/>
      <c r="AF15" s="191"/>
      <c r="AG15" s="192"/>
      <c r="AH15" s="192"/>
      <c r="AI15" s="192"/>
      <c r="AJ15" s="192"/>
      <c r="AK15" s="192"/>
      <c r="AL15" s="192"/>
      <c r="AM15" s="192"/>
      <c r="AN15" s="193"/>
      <c r="AO15" s="2"/>
      <c r="AP15" s="181"/>
      <c r="AQ15" s="182"/>
      <c r="AR15" s="183"/>
      <c r="AT15" s="187"/>
      <c r="AU15" s="182"/>
      <c r="AV15" s="182"/>
      <c r="AW15" s="182"/>
      <c r="AX15" s="188"/>
      <c r="AY15" s="27"/>
      <c r="AZ15" s="181"/>
      <c r="BA15" s="183"/>
    </row>
    <row r="16" spans="1:53" s="5" customFormat="1" ht="166.5" customHeight="1" thickBot="1" x14ac:dyDescent="0.35">
      <c r="A16" s="9" t="s">
        <v>22</v>
      </c>
      <c r="B16" s="10" t="s">
        <v>23</v>
      </c>
      <c r="C16" s="11" t="s">
        <v>24</v>
      </c>
      <c r="D16" s="11" t="s">
        <v>25</v>
      </c>
      <c r="E16" s="12" t="s">
        <v>26</v>
      </c>
      <c r="F16" s="19" t="s">
        <v>27</v>
      </c>
      <c r="G16" s="29" t="s">
        <v>28</v>
      </c>
      <c r="H16" s="12" t="s">
        <v>29</v>
      </c>
      <c r="I16" s="11" t="s">
        <v>30</v>
      </c>
      <c r="J16" s="11" t="s">
        <v>31</v>
      </c>
      <c r="K16" s="12" t="s">
        <v>32</v>
      </c>
      <c r="L16" s="12" t="s">
        <v>33</v>
      </c>
      <c r="M16" s="11" t="s">
        <v>30</v>
      </c>
      <c r="N16" s="11" t="s">
        <v>34</v>
      </c>
      <c r="O16" s="13" t="s">
        <v>35</v>
      </c>
      <c r="P16" s="2"/>
      <c r="Q16" s="511" t="s">
        <v>36</v>
      </c>
      <c r="R16" s="38" t="s">
        <v>37</v>
      </c>
      <c r="S16" s="38" t="s">
        <v>38</v>
      </c>
      <c r="T16" s="38" t="s">
        <v>39</v>
      </c>
      <c r="U16" s="38" t="s">
        <v>40</v>
      </c>
      <c r="V16" s="38" t="s">
        <v>41</v>
      </c>
      <c r="W16" s="38" t="s">
        <v>42</v>
      </c>
      <c r="X16" s="25" t="s">
        <v>43</v>
      </c>
      <c r="Y16" s="44" t="s">
        <v>44</v>
      </c>
      <c r="Z16" s="44" t="s">
        <v>45</v>
      </c>
      <c r="AA16" s="16" t="s">
        <v>46</v>
      </c>
      <c r="AB16" s="316" t="s">
        <v>47</v>
      </c>
      <c r="AC16" s="317"/>
      <c r="AD16" s="16" t="s">
        <v>48</v>
      </c>
      <c r="AE16" s="161" t="s">
        <v>49</v>
      </c>
      <c r="AF16" s="162"/>
      <c r="AG16" s="17" t="s">
        <v>50</v>
      </c>
      <c r="AH16" s="17" t="s">
        <v>51</v>
      </c>
      <c r="AI16" s="17" t="s">
        <v>30</v>
      </c>
      <c r="AJ16" s="17" t="s">
        <v>52</v>
      </c>
      <c r="AK16" s="17" t="s">
        <v>30</v>
      </c>
      <c r="AL16" s="17" t="s">
        <v>34</v>
      </c>
      <c r="AM16" s="17" t="s">
        <v>53</v>
      </c>
      <c r="AN16" s="13" t="s">
        <v>54</v>
      </c>
      <c r="AO16" s="2"/>
      <c r="AP16" s="18" t="s">
        <v>55</v>
      </c>
      <c r="AQ16" s="15" t="s">
        <v>56</v>
      </c>
      <c r="AR16" s="26" t="s">
        <v>57</v>
      </c>
      <c r="AT16" s="40" t="s">
        <v>58</v>
      </c>
      <c r="AU16" s="42" t="s">
        <v>59</v>
      </c>
      <c r="AV16" s="42" t="s">
        <v>60</v>
      </c>
      <c r="AW16" s="42" t="s">
        <v>61</v>
      </c>
      <c r="AX16" s="41" t="s">
        <v>62</v>
      </c>
      <c r="AY16" s="28"/>
      <c r="AZ16" s="43" t="s">
        <v>63</v>
      </c>
      <c r="BA16" s="96" t="s">
        <v>64</v>
      </c>
    </row>
    <row r="17" spans="1:53" ht="353.25" customHeight="1" x14ac:dyDescent="0.3">
      <c r="A17" s="278">
        <v>1</v>
      </c>
      <c r="B17" s="237" t="s">
        <v>65</v>
      </c>
      <c r="C17" s="165" t="s">
        <v>801</v>
      </c>
      <c r="D17" s="319" t="s">
        <v>802</v>
      </c>
      <c r="E17" s="165" t="s">
        <v>803</v>
      </c>
      <c r="F17" s="165"/>
      <c r="G17" s="295">
        <v>365</v>
      </c>
      <c r="H17" s="160" t="str">
        <f>IF(G17&lt;=0,"",IF(G17&lt;=2,"Muy Baja",IF(G17&lt;=24,"Baja",IF(G17&lt;=500,"Media",IF(G17&lt;=5000,"Alta","Muy Alta")))))</f>
        <v>Media</v>
      </c>
      <c r="I17" s="157">
        <f>IF(H17="","",IF(H17="Muy Baja",0.2,IF(H17="Baja",0.4,IF(H17="Media",0.6,IF(H17="Alta",0.8,IF(H17="Muy Alta",1,))))))</f>
        <v>0.6</v>
      </c>
      <c r="J17" s="281" t="s">
        <v>150</v>
      </c>
      <c r="K17" s="282" t="str">
        <f>+J17</f>
        <v>El riesgo afecta la imagen de la entidad con algunos usuarios de relevancia frente al logro de los objetivos.</v>
      </c>
      <c r="L17" s="160" t="str">
        <f>+VLOOKUP(K17,[8]Datos!$O$4:$P$15,2,FALSE)</f>
        <v>Moderado</v>
      </c>
      <c r="M17" s="157">
        <f>IF(L17="","",IF(L17="Leve",0.2,IF(L17="Menor",0.4,IF(L17="Moderado",0.6,IF(L17="Mayor",0.8,IF(L17="Catastrófico",1,))))))</f>
        <v>0.6</v>
      </c>
      <c r="N17" s="283" t="str">
        <f>+CONCATENATE(H17, " - ", L17)</f>
        <v>Media - Moderado</v>
      </c>
      <c r="O17" s="284" t="str">
        <f>+VLOOKUP(N17,[8]Datos!J4:K28,2,)</f>
        <v>MODERADO</v>
      </c>
      <c r="P17" s="512"/>
      <c r="Q17" s="513">
        <v>1</v>
      </c>
      <c r="R17" s="322" t="s">
        <v>804</v>
      </c>
      <c r="S17" s="322" t="s">
        <v>805</v>
      </c>
      <c r="T17" s="322" t="s">
        <v>806</v>
      </c>
      <c r="U17" s="322" t="s">
        <v>807</v>
      </c>
      <c r="V17" s="322" t="s">
        <v>808</v>
      </c>
      <c r="W17" s="514" t="s">
        <v>809</v>
      </c>
      <c r="X17" s="30" t="str">
        <f>IF(OR(Y17="Preventivo",Y17="Detectivo"),"Probabilidad",IF(Y17="Correctivo","Impacto",""))</f>
        <v>Probabilidad</v>
      </c>
      <c r="Y17" s="6" t="s">
        <v>76</v>
      </c>
      <c r="Z17" s="6" t="s">
        <v>77</v>
      </c>
      <c r="AA17" s="31" t="str">
        <f t="shared" ref="AA17:AA22" si="0">IF(AND(Y17="Preventivo",Z17="Automático"),"50%",IF(AND(Y17="Preventivo",Z17="Manual"),"40%",IF(AND(Y17="Detectivo",Z17="Automático"),"40%",IF(AND(Y17="Detectivo",Z17="Manual"),"30%",IF(AND(Y17="Correctivo",Z17="Automático"),"35%",IF(AND(Y17="Correctivo",Z17="Manual"),"25%",""))))))</f>
        <v>40%</v>
      </c>
      <c r="AB17" s="242" t="s">
        <v>78</v>
      </c>
      <c r="AC17" s="242" t="s">
        <v>810</v>
      </c>
      <c r="AD17" s="6" t="s">
        <v>99</v>
      </c>
      <c r="AE17" s="8" t="s">
        <v>81</v>
      </c>
      <c r="AF17" s="8" t="str">
        <f t="shared" ref="AF17:AF22" si="1">+W17</f>
        <v>Plan de mantenimiento formulado</v>
      </c>
      <c r="AG17" s="32">
        <f>IFERROR(IF(X17="Probabilidad",(I17-(+I17*AA17)),IF(X17="Impacto",I17,"")),"")</f>
        <v>0.36</v>
      </c>
      <c r="AH17" s="33" t="str">
        <f t="shared" ref="AH17:AH22" si="2">IFERROR(IF(AG17="","",IF(AG17&lt;=0.2,"Muy Baja",IF(AG17&lt;=0.4,"Baja",IF(AG17&lt;=0.6,"Media",IF(AG17&lt;=0.8,"Alta","Muy Alta"))))),"")</f>
        <v>Baja</v>
      </c>
      <c r="AI17" s="34">
        <f>I17-(AA17*I17)</f>
        <v>0.36</v>
      </c>
      <c r="AJ17" s="35" t="str">
        <f t="shared" ref="AJ17:AJ22" si="3">IFERROR(IF(AK17="","",IF(AK17&lt;=0.2,"Leve",IF(AK17&lt;=0.4,"Menor",IF(AK17&lt;=0.6,"Moderado",IF(AK17&lt;=0.8,"Mayor","Catastrófico"))))),"")</f>
        <v>Moderado</v>
      </c>
      <c r="AK17" s="32">
        <f>IFERROR(IF(X17="Impacto",(M17-(+M17*AA17)),IF(X17="Probabilidad",M17,"")),"")</f>
        <v>0.6</v>
      </c>
      <c r="AL17" s="36" t="str">
        <f>+CONCATENATE(AH17, " - ", AJ17)</f>
        <v>Baja - Moderado</v>
      </c>
      <c r="AM17" s="37" t="str">
        <f>+VLOOKUP(AL17,[8]Datos!$J$4:$K$28,2,)</f>
        <v>MODERADO</v>
      </c>
      <c r="AN17" s="324" t="s">
        <v>82</v>
      </c>
      <c r="AO17" s="320"/>
      <c r="AP17" s="515" t="s">
        <v>811</v>
      </c>
      <c r="AQ17" s="244" t="s">
        <v>812</v>
      </c>
      <c r="AR17" s="516" t="s">
        <v>813</v>
      </c>
      <c r="AT17" s="517">
        <v>46147</v>
      </c>
      <c r="AU17" s="518" t="s">
        <v>814</v>
      </c>
      <c r="AV17" s="519" t="s">
        <v>815</v>
      </c>
      <c r="AW17" s="520" t="s">
        <v>302</v>
      </c>
      <c r="AX17" s="520" t="s">
        <v>172</v>
      </c>
      <c r="AY17" s="28"/>
      <c r="AZ17" s="521" t="s">
        <v>816</v>
      </c>
      <c r="BA17" s="288" t="s">
        <v>817</v>
      </c>
    </row>
    <row r="18" spans="1:53" ht="353.25" customHeight="1" thickBot="1" x14ac:dyDescent="0.35">
      <c r="A18" s="292"/>
      <c r="B18" s="293"/>
      <c r="C18" s="319"/>
      <c r="D18" s="331"/>
      <c r="E18" s="319"/>
      <c r="F18" s="319"/>
      <c r="G18" s="332"/>
      <c r="H18" s="296"/>
      <c r="I18" s="283"/>
      <c r="J18" s="297"/>
      <c r="K18" s="298"/>
      <c r="L18" s="296"/>
      <c r="M18" s="283"/>
      <c r="N18" s="299"/>
      <c r="O18" s="300"/>
      <c r="P18" s="2"/>
      <c r="Q18" s="522">
        <v>2</v>
      </c>
      <c r="R18" s="523" t="s">
        <v>818</v>
      </c>
      <c r="S18" s="523" t="s">
        <v>241</v>
      </c>
      <c r="T18" s="523" t="s">
        <v>819</v>
      </c>
      <c r="U18" s="523" t="s">
        <v>820</v>
      </c>
      <c r="V18" s="523" t="s">
        <v>821</v>
      </c>
      <c r="W18" s="523" t="s">
        <v>822</v>
      </c>
      <c r="X18" s="336" t="str">
        <f t="shared" ref="X18:X22" si="4">IF(OR(Y18="Preventivo",Y18="Detectivo"),"Probabilidad",IF(Y18="Correctivo","Impacto",""))</f>
        <v>Probabilidad</v>
      </c>
      <c r="Y18" s="6" t="s">
        <v>76</v>
      </c>
      <c r="Z18" s="6" t="s">
        <v>77</v>
      </c>
      <c r="AA18" s="31" t="str">
        <f t="shared" si="0"/>
        <v>40%</v>
      </c>
      <c r="AB18" s="242" t="s">
        <v>78</v>
      </c>
      <c r="AC18" s="242" t="s">
        <v>823</v>
      </c>
      <c r="AD18" s="6" t="s">
        <v>99</v>
      </c>
      <c r="AE18" s="8" t="s">
        <v>81</v>
      </c>
      <c r="AF18" s="8" t="str">
        <f t="shared" si="1"/>
        <v xml:space="preserve">Formato Diagnóstico técnico general de bien inmueble A-GAMB-FT-012
Memorando ( Cuando aplique)
</v>
      </c>
      <c r="AG18" s="301">
        <f t="shared" ref="AG18:AG22" si="5">IFERROR(IF(AND(X17="Probabilidad",X18="Probabilidad"),(AI17-(+AI17*AA18)),IF(X18="Probabilidad",($I$17-(+$I$17*AA18)),IF(X18="Impacto",AI17,""))),"")</f>
        <v>0.216</v>
      </c>
      <c r="AH18" s="33" t="str">
        <f t="shared" si="2"/>
        <v>Baja</v>
      </c>
      <c r="AI18" s="34">
        <f t="shared" ref="AI18:AI22" si="6">+AG18</f>
        <v>0.216</v>
      </c>
      <c r="AJ18" s="35" t="str">
        <f t="shared" si="3"/>
        <v>Moderado</v>
      </c>
      <c r="AK18" s="302">
        <f t="shared" ref="AK18:AK22" si="7">IFERROR(IF(AND(X17="Impacto",X17="Impacto"),(AK17-(+AK17*AA18)),IF(X18="Impacto",($M$17-(+$M$17*AA18)),IF(X18="Probabilidad",AK17,""))),"")</f>
        <v>0.6</v>
      </c>
      <c r="AL18" s="36" t="str">
        <f t="shared" ref="AL18:AL22" si="8">+CONCATENATE(AH18, " - ", AJ18)</f>
        <v>Baja - Moderado</v>
      </c>
      <c r="AM18" s="37" t="str">
        <f>+VLOOKUP(AL18,[8]Datos!$J$4:$K$28,2,)</f>
        <v>MODERADO</v>
      </c>
      <c r="AN18" s="337"/>
      <c r="AO18" s="2"/>
      <c r="AP18" s="524"/>
      <c r="AQ18" s="339"/>
      <c r="AR18" s="525"/>
      <c r="AT18" s="526"/>
      <c r="AU18" s="518" t="s">
        <v>824</v>
      </c>
      <c r="AV18" s="527"/>
      <c r="AW18" s="528"/>
      <c r="AX18" s="528"/>
      <c r="AY18" s="28"/>
      <c r="AZ18" s="529" t="s">
        <v>825</v>
      </c>
      <c r="BA18" s="530" t="s">
        <v>826</v>
      </c>
    </row>
    <row r="19" spans="1:53" ht="353.25" customHeight="1" thickBot="1" x14ac:dyDescent="0.35">
      <c r="A19" s="292"/>
      <c r="B19" s="293"/>
      <c r="C19" s="319"/>
      <c r="D19" s="331"/>
      <c r="E19" s="319"/>
      <c r="F19" s="319"/>
      <c r="G19" s="332"/>
      <c r="H19" s="296"/>
      <c r="I19" s="283"/>
      <c r="J19" s="297"/>
      <c r="K19" s="298"/>
      <c r="L19" s="296"/>
      <c r="M19" s="283"/>
      <c r="N19" s="299"/>
      <c r="O19" s="300"/>
      <c r="P19" s="2"/>
      <c r="Q19" s="522">
        <v>3</v>
      </c>
      <c r="R19" s="531" t="s">
        <v>827</v>
      </c>
      <c r="S19" s="532" t="s">
        <v>162</v>
      </c>
      <c r="T19" s="533" t="s">
        <v>828</v>
      </c>
      <c r="U19" s="531" t="s">
        <v>829</v>
      </c>
      <c r="V19" s="531" t="s">
        <v>830</v>
      </c>
      <c r="W19" s="531" t="s">
        <v>831</v>
      </c>
      <c r="X19" s="30" t="str">
        <f t="shared" si="4"/>
        <v>Probabilidad</v>
      </c>
      <c r="Y19" s="6" t="s">
        <v>98</v>
      </c>
      <c r="Z19" s="6" t="s">
        <v>77</v>
      </c>
      <c r="AA19" s="31" t="str">
        <f t="shared" si="0"/>
        <v>30%</v>
      </c>
      <c r="AB19" s="242" t="s">
        <v>78</v>
      </c>
      <c r="AC19" s="242" t="s">
        <v>832</v>
      </c>
      <c r="AD19" s="6" t="s">
        <v>99</v>
      </c>
      <c r="AE19" s="8" t="s">
        <v>81</v>
      </c>
      <c r="AF19" s="8" t="str">
        <f t="shared" si="1"/>
        <v>Acta de reunión</v>
      </c>
      <c r="AG19" s="302">
        <f t="shared" si="5"/>
        <v>0.1512</v>
      </c>
      <c r="AH19" s="33" t="str">
        <f t="shared" si="2"/>
        <v>Muy Baja</v>
      </c>
      <c r="AI19" s="34">
        <f t="shared" si="6"/>
        <v>0.1512</v>
      </c>
      <c r="AJ19" s="35" t="str">
        <f t="shared" si="3"/>
        <v>Moderado</v>
      </c>
      <c r="AK19" s="302">
        <f t="shared" si="7"/>
        <v>0.6</v>
      </c>
      <c r="AL19" s="36" t="str">
        <f t="shared" si="8"/>
        <v>Muy Baja - Moderado</v>
      </c>
      <c r="AM19" s="37" t="str">
        <f>+VLOOKUP(AL19,[8]Datos!$J$4:$K$28,2,)</f>
        <v>MODERADO</v>
      </c>
      <c r="AN19" s="337"/>
      <c r="AO19" s="2"/>
      <c r="AP19" s="524"/>
      <c r="AQ19" s="339"/>
      <c r="AR19" s="525"/>
      <c r="AT19" s="526"/>
      <c r="AU19" s="534" t="s">
        <v>833</v>
      </c>
      <c r="AV19" s="527"/>
      <c r="AW19" s="528"/>
      <c r="AX19" s="528"/>
      <c r="AY19" s="28"/>
      <c r="AZ19" s="529" t="s">
        <v>834</v>
      </c>
      <c r="BA19" s="535" t="s">
        <v>835</v>
      </c>
    </row>
    <row r="20" spans="1:53" ht="353.25" customHeight="1" thickBot="1" x14ac:dyDescent="0.35">
      <c r="A20" s="292"/>
      <c r="B20" s="293"/>
      <c r="C20" s="319"/>
      <c r="D20" s="331"/>
      <c r="E20" s="319"/>
      <c r="F20" s="319"/>
      <c r="G20" s="332"/>
      <c r="H20" s="296"/>
      <c r="I20" s="283"/>
      <c r="J20" s="297"/>
      <c r="K20" s="298"/>
      <c r="L20" s="296"/>
      <c r="M20" s="283"/>
      <c r="N20" s="299"/>
      <c r="O20" s="300"/>
      <c r="P20" s="2"/>
      <c r="Q20" s="522">
        <v>4</v>
      </c>
      <c r="R20" s="531" t="s">
        <v>804</v>
      </c>
      <c r="S20" s="532" t="s">
        <v>836</v>
      </c>
      <c r="T20" s="533" t="s">
        <v>837</v>
      </c>
      <c r="U20" s="531" t="s">
        <v>838</v>
      </c>
      <c r="V20" s="531" t="s">
        <v>839</v>
      </c>
      <c r="W20" s="531" t="s">
        <v>840</v>
      </c>
      <c r="X20" s="30" t="str">
        <f t="shared" si="4"/>
        <v>Impacto</v>
      </c>
      <c r="Y20" s="6" t="s">
        <v>151</v>
      </c>
      <c r="Z20" s="6" t="s">
        <v>77</v>
      </c>
      <c r="AA20" s="31" t="str">
        <f t="shared" si="0"/>
        <v>25%</v>
      </c>
      <c r="AB20" s="8" t="s">
        <v>78</v>
      </c>
      <c r="AC20" s="242" t="s">
        <v>841</v>
      </c>
      <c r="AD20" s="6" t="s">
        <v>99</v>
      </c>
      <c r="AE20" s="8" t="s">
        <v>81</v>
      </c>
      <c r="AF20" s="8" t="str">
        <f t="shared" si="1"/>
        <v xml:space="preserve">Formato de  Control de Inspección y Ejecución de mantenimiento de Bienes e Infraestructura  A-GAMB-FT-007
</v>
      </c>
      <c r="AG20" s="302">
        <f t="shared" si="5"/>
        <v>0.1512</v>
      </c>
      <c r="AH20" s="33" t="str">
        <f t="shared" si="2"/>
        <v>Muy Baja</v>
      </c>
      <c r="AI20" s="34">
        <f t="shared" si="6"/>
        <v>0.1512</v>
      </c>
      <c r="AJ20" s="35" t="str">
        <f t="shared" si="3"/>
        <v>Moderado</v>
      </c>
      <c r="AK20" s="302">
        <f t="shared" si="7"/>
        <v>0.44999999999999996</v>
      </c>
      <c r="AL20" s="36" t="str">
        <f t="shared" si="8"/>
        <v>Muy Baja - Moderado</v>
      </c>
      <c r="AM20" s="37" t="str">
        <f>+VLOOKUP(AL20,[8]Datos!$J$4:$K$28,2,)</f>
        <v>MODERADO</v>
      </c>
      <c r="AN20" s="337"/>
      <c r="AO20" s="2"/>
      <c r="AP20" s="524"/>
      <c r="AQ20" s="339"/>
      <c r="AR20" s="525"/>
      <c r="AT20" s="526"/>
      <c r="AU20" s="536" t="s">
        <v>842</v>
      </c>
      <c r="AV20" s="527"/>
      <c r="AW20" s="528"/>
      <c r="AX20" s="528"/>
      <c r="AY20" s="28"/>
      <c r="AZ20" s="529" t="s">
        <v>843</v>
      </c>
      <c r="BA20" s="535" t="s">
        <v>844</v>
      </c>
    </row>
    <row r="21" spans="1:53" ht="353.25" customHeight="1" thickBot="1" x14ac:dyDescent="0.35">
      <c r="A21" s="292"/>
      <c r="B21" s="293"/>
      <c r="C21" s="319"/>
      <c r="D21" s="331"/>
      <c r="E21" s="319"/>
      <c r="F21" s="319"/>
      <c r="G21" s="332"/>
      <c r="H21" s="296"/>
      <c r="I21" s="283"/>
      <c r="J21" s="297"/>
      <c r="K21" s="298"/>
      <c r="L21" s="296"/>
      <c r="M21" s="283"/>
      <c r="N21" s="299"/>
      <c r="O21" s="300"/>
      <c r="P21" s="2"/>
      <c r="Q21" s="522">
        <v>5</v>
      </c>
      <c r="R21" s="127" t="s">
        <v>845</v>
      </c>
      <c r="S21" s="253" t="s">
        <v>846</v>
      </c>
      <c r="T21" s="254" t="s">
        <v>847</v>
      </c>
      <c r="U21" s="127" t="s">
        <v>848</v>
      </c>
      <c r="V21" s="127" t="s">
        <v>849</v>
      </c>
      <c r="W21" s="127" t="s">
        <v>850</v>
      </c>
      <c r="X21" s="30" t="str">
        <f t="shared" si="4"/>
        <v>Impacto</v>
      </c>
      <c r="Y21" s="6" t="s">
        <v>151</v>
      </c>
      <c r="Z21" s="6" t="s">
        <v>77</v>
      </c>
      <c r="AA21" s="31" t="str">
        <f t="shared" si="0"/>
        <v>25%</v>
      </c>
      <c r="AB21" s="537" t="s">
        <v>153</v>
      </c>
      <c r="AC21" s="537" t="s">
        <v>458</v>
      </c>
      <c r="AD21" s="6" t="s">
        <v>99</v>
      </c>
      <c r="AE21" s="8" t="s">
        <v>81</v>
      </c>
      <c r="AF21" s="8" t="str">
        <f t="shared" si="1"/>
        <v>Respuesta a la PQRS en el aplicativo Bogotá Te Escucha y correo electrónico a Atención al Ciudadano con la respuesta generada</v>
      </c>
      <c r="AG21" s="302">
        <f t="shared" si="5"/>
        <v>0.1512</v>
      </c>
      <c r="AH21" s="33" t="str">
        <f t="shared" si="2"/>
        <v>Muy Baja</v>
      </c>
      <c r="AI21" s="34">
        <f t="shared" si="6"/>
        <v>0.1512</v>
      </c>
      <c r="AJ21" s="35" t="str">
        <f t="shared" si="3"/>
        <v>Menor</v>
      </c>
      <c r="AK21" s="302">
        <f t="shared" si="7"/>
        <v>0.33749999999999997</v>
      </c>
      <c r="AL21" s="36" t="str">
        <f t="shared" si="8"/>
        <v>Muy Baja - Menor</v>
      </c>
      <c r="AM21" s="37" t="str">
        <f>+VLOOKUP(AL21,[8]Datos!$J$4:$K$28,2,)</f>
        <v>BAJO</v>
      </c>
      <c r="AN21" s="337"/>
      <c r="AO21" s="2"/>
      <c r="AP21" s="524"/>
      <c r="AQ21" s="339"/>
      <c r="AR21" s="525"/>
      <c r="AT21" s="526"/>
      <c r="AU21" s="536" t="s">
        <v>851</v>
      </c>
      <c r="AV21" s="527"/>
      <c r="AW21" s="528"/>
      <c r="AX21" s="528"/>
      <c r="AY21" s="28"/>
      <c r="AZ21" s="529" t="s">
        <v>852</v>
      </c>
      <c r="BA21" s="530" t="s">
        <v>853</v>
      </c>
    </row>
    <row r="22" spans="1:53" ht="353.25" customHeight="1" thickBot="1" x14ac:dyDescent="0.35">
      <c r="A22" s="278"/>
      <c r="B22" s="237"/>
      <c r="C22" s="165"/>
      <c r="D22" s="347"/>
      <c r="E22" s="165"/>
      <c r="F22" s="165"/>
      <c r="G22" s="348"/>
      <c r="H22" s="160"/>
      <c r="I22" s="157"/>
      <c r="J22" s="349"/>
      <c r="K22" s="350"/>
      <c r="L22" s="160"/>
      <c r="M22" s="157"/>
      <c r="N22" s="351"/>
      <c r="O22" s="352"/>
      <c r="P22" s="353"/>
      <c r="Q22" s="513">
        <v>6</v>
      </c>
      <c r="R22" s="127" t="s">
        <v>854</v>
      </c>
      <c r="S22" s="253" t="s">
        <v>241</v>
      </c>
      <c r="T22" s="254" t="s">
        <v>855</v>
      </c>
      <c r="U22" s="127" t="s">
        <v>856</v>
      </c>
      <c r="V22" s="127" t="s">
        <v>857</v>
      </c>
      <c r="W22" s="127" t="s">
        <v>858</v>
      </c>
      <c r="X22" s="30" t="str">
        <f t="shared" si="4"/>
        <v>Impacto</v>
      </c>
      <c r="Y22" s="6" t="s">
        <v>151</v>
      </c>
      <c r="Z22" s="6" t="s">
        <v>77</v>
      </c>
      <c r="AA22" s="31" t="str">
        <f t="shared" si="0"/>
        <v>25%</v>
      </c>
      <c r="AB22" s="8" t="s">
        <v>78</v>
      </c>
      <c r="AC22" s="242" t="s">
        <v>832</v>
      </c>
      <c r="AD22" s="6" t="s">
        <v>99</v>
      </c>
      <c r="AE22" s="8" t="s">
        <v>81</v>
      </c>
      <c r="AF22" s="8" t="str">
        <f t="shared" si="1"/>
        <v xml:space="preserve">Pólizas vigentes
Correo electrónico (Cuando aplique)
</v>
      </c>
      <c r="AG22" s="354">
        <f t="shared" si="5"/>
        <v>0.1512</v>
      </c>
      <c r="AH22" s="33" t="str">
        <f t="shared" si="2"/>
        <v>Muy Baja</v>
      </c>
      <c r="AI22" s="34">
        <f t="shared" si="6"/>
        <v>0.1512</v>
      </c>
      <c r="AJ22" s="35" t="str">
        <f t="shared" si="3"/>
        <v>Menor</v>
      </c>
      <c r="AK22" s="354">
        <f t="shared" si="7"/>
        <v>0.25312499999999999</v>
      </c>
      <c r="AL22" s="36" t="str">
        <f t="shared" si="8"/>
        <v>Muy Baja - Menor</v>
      </c>
      <c r="AM22" s="37" t="str">
        <f>+VLOOKUP(AL22,[8]Datos!$J$4:$K$28,2,)</f>
        <v>BAJO</v>
      </c>
      <c r="AN22" s="324"/>
      <c r="AO22" s="353"/>
      <c r="AP22" s="515"/>
      <c r="AQ22" s="244"/>
      <c r="AR22" s="516"/>
      <c r="AS22" s="355"/>
      <c r="AT22" s="538"/>
      <c r="AU22" s="518" t="s">
        <v>859</v>
      </c>
      <c r="AV22" s="539"/>
      <c r="AW22" s="540"/>
      <c r="AX22" s="540"/>
      <c r="AY22" s="358"/>
      <c r="AZ22" s="541" t="s">
        <v>860</v>
      </c>
      <c r="BA22" s="535" t="s">
        <v>861</v>
      </c>
    </row>
    <row r="23" spans="1:53" ht="93.75" customHeight="1" x14ac:dyDescent="0.3">
      <c r="B23" s="76"/>
      <c r="C23" s="77"/>
      <c r="D23" s="77"/>
      <c r="E23" s="77"/>
      <c r="F23" s="77"/>
      <c r="G23" s="76"/>
      <c r="H23" s="76"/>
      <c r="I23" s="78"/>
      <c r="J23" s="79"/>
      <c r="K23" s="80"/>
      <c r="L23" s="76"/>
      <c r="M23" s="78"/>
      <c r="N23" s="78"/>
      <c r="O23" s="81"/>
      <c r="P23" s="2"/>
      <c r="Q23" s="542"/>
      <c r="R23" s="22"/>
      <c r="S23" s="22"/>
      <c r="T23" s="22"/>
      <c r="U23" s="22"/>
      <c r="V23" s="22"/>
      <c r="W23" s="22"/>
      <c r="X23" s="82"/>
      <c r="Y23" s="83"/>
      <c r="Z23" s="83"/>
      <c r="AA23" s="84"/>
      <c r="AB23" s="85"/>
      <c r="AC23" s="86"/>
      <c r="AD23" s="83"/>
      <c r="AE23" s="85"/>
      <c r="AF23" s="85"/>
      <c r="AG23" s="87"/>
      <c r="AH23" s="83"/>
      <c r="AI23" s="88"/>
      <c r="AJ23" s="89"/>
      <c r="AK23" s="87"/>
      <c r="AL23" s="90"/>
      <c r="AM23" s="91"/>
      <c r="AN23" s="92"/>
      <c r="AO23" s="2"/>
      <c r="AP23" s="74"/>
      <c r="AQ23" s="74"/>
      <c r="AR23" s="74"/>
      <c r="AT23" s="45"/>
      <c r="AU23" s="46"/>
      <c r="AV23" s="47"/>
      <c r="AW23" s="48"/>
      <c r="AX23" s="49"/>
      <c r="AY23" s="27"/>
      <c r="AZ23" s="47"/>
      <c r="BA23" s="50"/>
    </row>
    <row r="24" spans="1:53" ht="20.399999999999999" x14ac:dyDescent="0.3">
      <c r="A24" s="152" t="s">
        <v>103</v>
      </c>
      <c r="B24" s="152"/>
      <c r="C24" s="152"/>
      <c r="D24" s="152"/>
      <c r="E24" s="152"/>
      <c r="F24" s="152"/>
      <c r="G24" s="152"/>
      <c r="H24" s="152"/>
      <c r="P24" s="2"/>
      <c r="BA24" s="39" t="s">
        <v>104</v>
      </c>
    </row>
    <row r="25" spans="1:53" x14ac:dyDescent="0.3">
      <c r="P25" s="2"/>
    </row>
    <row r="26" spans="1:53" s="1" customFormat="1" x14ac:dyDescent="0.3">
      <c r="A26"/>
      <c r="B26"/>
      <c r="C26"/>
      <c r="D26"/>
      <c r="E26"/>
      <c r="F26"/>
      <c r="G26"/>
      <c r="H26"/>
      <c r="I26"/>
      <c r="J26"/>
      <c r="K26"/>
      <c r="P26" s="2"/>
      <c r="Q26" s="508"/>
      <c r="AN26" s="4"/>
      <c r="AO26" s="4"/>
      <c r="AP26" s="4"/>
      <c r="AS26"/>
      <c r="AT26"/>
      <c r="AU26"/>
      <c r="AV26"/>
      <c r="AW26"/>
      <c r="AX26"/>
      <c r="AY26"/>
      <c r="AZ26"/>
      <c r="BA26"/>
    </row>
    <row r="27" spans="1:53" s="1" customFormat="1" x14ac:dyDescent="0.3">
      <c r="A27"/>
      <c r="B27"/>
      <c r="C27"/>
      <c r="D27"/>
      <c r="E27"/>
      <c r="F27"/>
      <c r="G27"/>
      <c r="H27"/>
      <c r="I27"/>
      <c r="J27"/>
      <c r="K27"/>
      <c r="P27" s="2"/>
      <c r="Q27" s="508"/>
      <c r="AN27" s="4"/>
      <c r="AO27" s="4"/>
      <c r="AP27" s="4"/>
      <c r="AS27"/>
      <c r="AT27"/>
      <c r="AU27"/>
      <c r="AV27"/>
      <c r="AW27"/>
      <c r="AX27"/>
      <c r="AY27"/>
      <c r="AZ27"/>
      <c r="BA27"/>
    </row>
    <row r="28" spans="1:53" s="1" customFormat="1" x14ac:dyDescent="0.3">
      <c r="A28"/>
      <c r="B28"/>
      <c r="C28"/>
      <c r="D28"/>
      <c r="E28"/>
      <c r="F28"/>
      <c r="G28"/>
      <c r="H28"/>
      <c r="I28"/>
      <c r="J28"/>
      <c r="K28"/>
      <c r="P28" s="2"/>
      <c r="Q28" s="508"/>
      <c r="AN28" s="4"/>
      <c r="AO28" s="4"/>
      <c r="AP28" s="4"/>
      <c r="AS28"/>
      <c r="AT28"/>
      <c r="AU28"/>
      <c r="AV28"/>
      <c r="AW28"/>
      <c r="AX28"/>
      <c r="AY28"/>
      <c r="AZ28"/>
      <c r="BA28"/>
    </row>
    <row r="29" spans="1:53" s="1" customFormat="1" x14ac:dyDescent="0.3">
      <c r="A29"/>
      <c r="B29"/>
      <c r="C29"/>
      <c r="D29"/>
      <c r="E29"/>
      <c r="F29"/>
      <c r="G29"/>
      <c r="H29"/>
      <c r="I29"/>
      <c r="J29"/>
      <c r="K29"/>
      <c r="P29" s="2"/>
      <c r="Q29" s="508"/>
      <c r="AN29" s="4"/>
      <c r="AO29" s="4"/>
      <c r="AP29" s="4"/>
      <c r="AS29"/>
      <c r="AT29"/>
      <c r="AU29"/>
      <c r="AV29"/>
      <c r="AW29"/>
      <c r="AX29"/>
      <c r="AY29"/>
      <c r="AZ29"/>
      <c r="BA29"/>
    </row>
    <row r="30" spans="1:53" s="1" customFormat="1" x14ac:dyDescent="0.3">
      <c r="A30"/>
      <c r="B30"/>
      <c r="C30"/>
      <c r="D30"/>
      <c r="E30"/>
      <c r="F30"/>
      <c r="G30"/>
      <c r="H30"/>
      <c r="I30"/>
      <c r="J30"/>
      <c r="K30"/>
      <c r="P30" s="2"/>
      <c r="Q30" s="508"/>
      <c r="AN30" s="4"/>
      <c r="AO30" s="4"/>
      <c r="AP30" s="4"/>
      <c r="AS30"/>
      <c r="AT30"/>
      <c r="AU30"/>
      <c r="AV30"/>
      <c r="AW30"/>
      <c r="AX30"/>
      <c r="AY30"/>
      <c r="AZ30"/>
      <c r="BA30"/>
    </row>
    <row r="31" spans="1:53" s="1" customFormat="1" x14ac:dyDescent="0.3">
      <c r="A31"/>
      <c r="B31"/>
      <c r="C31"/>
      <c r="D31"/>
      <c r="E31"/>
      <c r="F31"/>
      <c r="G31"/>
      <c r="H31"/>
      <c r="I31"/>
      <c r="J31"/>
      <c r="K31"/>
      <c r="P31" s="2"/>
      <c r="Q31" s="508"/>
      <c r="AN31" s="4"/>
      <c r="AO31" s="4"/>
      <c r="AP31" s="4"/>
      <c r="AS31"/>
      <c r="AT31"/>
      <c r="AU31"/>
      <c r="AV31"/>
      <c r="AW31"/>
      <c r="AX31"/>
      <c r="AY31"/>
      <c r="AZ31"/>
      <c r="BA31"/>
    </row>
    <row r="32" spans="1:53" s="1" customFormat="1" x14ac:dyDescent="0.3">
      <c r="A32"/>
      <c r="B32"/>
      <c r="C32"/>
      <c r="D32"/>
      <c r="E32"/>
      <c r="F32"/>
      <c r="G32"/>
      <c r="H32"/>
      <c r="I32"/>
      <c r="J32"/>
      <c r="K32"/>
      <c r="P32" s="2"/>
      <c r="Q32" s="508"/>
      <c r="AN32" s="4"/>
      <c r="AO32" s="4"/>
      <c r="AP32" s="4"/>
      <c r="AS32"/>
      <c r="AT32"/>
      <c r="AU32"/>
      <c r="AV32"/>
      <c r="AW32"/>
      <c r="AX32"/>
      <c r="AY32"/>
      <c r="AZ32"/>
      <c r="BA32"/>
    </row>
  </sheetData>
  <mergeCells count="51">
    <mergeCell ref="AV17:AV22"/>
    <mergeCell ref="AW17:AW22"/>
    <mergeCell ref="AX17:AX22"/>
    <mergeCell ref="A24:H24"/>
    <mergeCell ref="O17:O22"/>
    <mergeCell ref="AN17:AN22"/>
    <mergeCell ref="AP17:AP22"/>
    <mergeCell ref="AQ17:AQ22"/>
    <mergeCell ref="AR17:AR22"/>
    <mergeCell ref="AT17:AT22"/>
    <mergeCell ref="I17:I22"/>
    <mergeCell ref="J17:J22"/>
    <mergeCell ref="K17:K22"/>
    <mergeCell ref="L17:L22"/>
    <mergeCell ref="M17:M22"/>
    <mergeCell ref="N17:N22"/>
    <mergeCell ref="AB16:AC16"/>
    <mergeCell ref="AE16:AF16"/>
    <mergeCell ref="A17:A22"/>
    <mergeCell ref="B17:B22"/>
    <mergeCell ref="C17:C22"/>
    <mergeCell ref="D17:D22"/>
    <mergeCell ref="E17:E22"/>
    <mergeCell ref="F17:F22"/>
    <mergeCell ref="G17:G22"/>
    <mergeCell ref="H17:H22"/>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23">
    <cfRule type="cellIs" dxfId="23" priority="20" operator="equal">
      <formula>"Muy Alta"</formula>
    </cfRule>
    <cfRule type="cellIs" dxfId="22" priority="21" operator="equal">
      <formula>"Alta"</formula>
    </cfRule>
    <cfRule type="cellIs" dxfId="21" priority="22" operator="equal">
      <formula>"Media"</formula>
    </cfRule>
    <cfRule type="cellIs" dxfId="20" priority="23" operator="equal">
      <formula>"Muy Baja"</formula>
    </cfRule>
    <cfRule type="cellIs" dxfId="19" priority="24" operator="equal">
      <formula>"Baja"</formula>
    </cfRule>
  </conditionalFormatting>
  <conditionalFormatting sqref="L17:L23">
    <cfRule type="cellIs" dxfId="18" priority="15" operator="equal">
      <formula>"Leve"</formula>
    </cfRule>
    <cfRule type="cellIs" dxfId="17" priority="16" operator="equal">
      <formula>"Catastrófico"</formula>
    </cfRule>
    <cfRule type="cellIs" dxfId="16" priority="17" operator="equal">
      <formula>"Mayor"</formula>
    </cfRule>
    <cfRule type="cellIs" dxfId="15" priority="18" operator="equal">
      <formula>"Moderado"</formula>
    </cfRule>
    <cfRule type="cellIs" dxfId="14" priority="19" operator="equal">
      <formula>"Menor"</formula>
    </cfRule>
  </conditionalFormatting>
  <conditionalFormatting sqref="O17:O23 AM17:AM23">
    <cfRule type="cellIs" dxfId="13" priority="11" operator="equal">
      <formula>"EXTREMO"</formula>
    </cfRule>
    <cfRule type="cellIs" dxfId="12" priority="12" operator="equal">
      <formula>"ALTO"</formula>
    </cfRule>
    <cfRule type="cellIs" dxfId="11" priority="13" operator="equal">
      <formula>"BAJO"</formula>
    </cfRule>
    <cfRule type="cellIs" dxfId="10" priority="14" operator="equal">
      <formula>"MODERADO"</formula>
    </cfRule>
  </conditionalFormatting>
  <conditionalFormatting sqref="AH17:AH23">
    <cfRule type="cellIs" dxfId="9" priority="6" operator="equal">
      <formula>"Muy Baja"</formula>
    </cfRule>
    <cfRule type="cellIs" dxfId="8" priority="7" operator="equal">
      <formula>"Baja"</formula>
    </cfRule>
    <cfRule type="cellIs" dxfId="7" priority="8" operator="equal">
      <formula>"Media"</formula>
    </cfRule>
    <cfRule type="cellIs" dxfId="6" priority="9" operator="equal">
      <formula>"Muy Alta"</formula>
    </cfRule>
    <cfRule type="cellIs" dxfId="5" priority="10" operator="equal">
      <formula>"Alta"</formula>
    </cfRule>
  </conditionalFormatting>
  <conditionalFormatting sqref="AJ17:AJ23">
    <cfRule type="cellIs" dxfId="4" priority="1" operator="equal">
      <formula>"Catastrófico"</formula>
    </cfRule>
    <cfRule type="cellIs" dxfId="3" priority="2" operator="equal">
      <formula>"Mayor"</formula>
    </cfRule>
    <cfRule type="cellIs" dxfId="2" priority="3" operator="equal">
      <formula>"Moderado"</formula>
    </cfRule>
    <cfRule type="cellIs" dxfId="1" priority="4" operator="equal">
      <formula>"Menor"</formula>
    </cfRule>
    <cfRule type="cellIs" dxfId="0" priority="5" operator="equal">
      <formula>"Leve"</formula>
    </cfRule>
  </conditionalFormatting>
  <hyperlinks>
    <hyperlink ref="A14:O15" location="Instructivo!A1" display="IDENTIFICACIÓN DEL RIESGO" xr:uid="{A84FE5C2-40DE-4ED5-A9F2-A9C3AC719079}"/>
  </hyperlinks>
  <pageMargins left="0.70866141732283472" right="0.70866141732283472" top="0.74803149606299213" bottom="0.74803149606299213" header="0.31496062992125984" footer="0.31496062992125984"/>
  <pageSetup paperSize="41" scale="12" orientation="landscape" r:id="rId1"/>
  <colBreaks count="1" manualBreakCount="1">
    <brk id="16" max="22"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D6B0A-5D49-4243-9804-6E0E526E08E9}">
  <sheetPr>
    <tabColor theme="0"/>
    <pageSetUpPr fitToPage="1"/>
  </sheetPr>
  <dimension ref="A1:BA27"/>
  <sheetViews>
    <sheetView showGridLines="0" zoomScale="70" zoomScaleNormal="70" workbookViewId="0">
      <selection activeCell="A14" sqref="A14:O15"/>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88671875" customWidth="1"/>
    <col min="12" max="12" width="20.109375"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23" width="46.6640625" style="1" customWidth="1"/>
    <col min="24" max="24" width="15.88671875" style="1" customWidth="1"/>
    <col min="25" max="27" width="10.33203125" style="1" customWidth="1"/>
    <col min="28" max="28" width="6" style="1" customWidth="1"/>
    <col min="29" max="29" width="13.6640625" style="1" customWidth="1"/>
    <col min="30" max="30" width="7.5546875" style="1" customWidth="1"/>
    <col min="31" max="31" width="5.6640625" style="1" customWidth="1"/>
    <col min="32" max="32" width="22.33203125"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5546875" style="4" customWidth="1"/>
    <col min="41" max="41" width="1" style="4" customWidth="1"/>
    <col min="42" max="42" width="26.88671875" style="4" customWidth="1"/>
    <col min="43" max="43" width="26.6640625" style="1" customWidth="1"/>
    <col min="44" max="44" width="20.88671875" style="1" customWidth="1"/>
    <col min="45" max="45" width="1" customWidth="1"/>
    <col min="46" max="46" width="18.33203125" customWidth="1"/>
    <col min="47" max="50" width="45" customWidth="1"/>
    <col min="51" max="51" width="1" customWidth="1"/>
    <col min="52" max="53" width="4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4</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399999999999999"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126</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45828</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13" t="s">
        <v>10</v>
      </c>
      <c r="E10" s="214"/>
      <c r="F10" s="214"/>
      <c r="G10" s="214"/>
      <c r="H10" s="214"/>
      <c r="I10" s="214"/>
      <c r="J10" s="214"/>
      <c r="K10" s="214"/>
      <c r="L10" s="214"/>
      <c r="M10" s="215"/>
      <c r="N10" s="21"/>
      <c r="AN10" s="1"/>
      <c r="AO10" s="1"/>
      <c r="AP10" s="1"/>
    </row>
    <row r="11" spans="1:53" s="3" customFormat="1" ht="75" customHeight="1" x14ac:dyDescent="0.3">
      <c r="A11" s="194" t="s">
        <v>11</v>
      </c>
      <c r="B11" s="194"/>
      <c r="C11" s="194"/>
      <c r="D11" s="195" t="s">
        <v>12</v>
      </c>
      <c r="E11" s="214"/>
      <c r="F11" s="214"/>
      <c r="G11" s="214"/>
      <c r="H11" s="214"/>
      <c r="I11" s="214"/>
      <c r="J11" s="214"/>
      <c r="K11" s="214"/>
      <c r="L11" s="214"/>
      <c r="M11" s="215"/>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94" t="s">
        <v>13</v>
      </c>
      <c r="B12" s="194"/>
      <c r="C12" s="194"/>
      <c r="D12" s="195" t="s">
        <v>14</v>
      </c>
      <c r="E12" s="196"/>
      <c r="F12" s="196"/>
      <c r="G12" s="196"/>
      <c r="H12" s="196"/>
      <c r="I12" s="196"/>
      <c r="J12" s="196"/>
      <c r="K12" s="196"/>
      <c r="L12" s="196"/>
      <c r="M12" s="197"/>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x14ac:dyDescent="0.3">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71" t="s">
        <v>15</v>
      </c>
      <c r="B14" s="171"/>
      <c r="C14" s="171"/>
      <c r="D14" s="171"/>
      <c r="E14" s="171"/>
      <c r="F14" s="171"/>
      <c r="G14" s="171"/>
      <c r="H14" s="171"/>
      <c r="I14" s="171"/>
      <c r="J14" s="171"/>
      <c r="K14" s="171"/>
      <c r="L14" s="171"/>
      <c r="M14" s="171"/>
      <c r="N14" s="171"/>
      <c r="O14" s="171"/>
      <c r="P14" s="99"/>
      <c r="Q14" s="227" t="s">
        <v>16</v>
      </c>
      <c r="R14" s="227"/>
      <c r="S14" s="227"/>
      <c r="T14" s="227"/>
      <c r="U14" s="227"/>
      <c r="V14" s="227"/>
      <c r="W14" s="227"/>
      <c r="X14" s="227"/>
      <c r="Y14" s="227"/>
      <c r="Z14" s="227"/>
      <c r="AA14" s="227"/>
      <c r="AB14" s="227"/>
      <c r="AC14" s="227"/>
      <c r="AD14" s="227"/>
      <c r="AE14" s="227"/>
      <c r="AF14" s="227"/>
      <c r="AG14" s="227"/>
      <c r="AH14" s="227"/>
      <c r="AI14" s="227"/>
      <c r="AJ14" s="227"/>
      <c r="AK14" s="227"/>
      <c r="AL14" s="227"/>
      <c r="AM14" s="227"/>
      <c r="AN14" s="227"/>
      <c r="AO14" s="99"/>
      <c r="AP14" s="194" t="s">
        <v>17</v>
      </c>
      <c r="AQ14" s="194"/>
      <c r="AR14" s="194"/>
      <c r="AS14" s="111"/>
      <c r="AT14" s="194" t="s">
        <v>18</v>
      </c>
      <c r="AU14" s="194"/>
      <c r="AV14" s="194"/>
      <c r="AW14" s="194"/>
      <c r="AX14" s="194"/>
      <c r="AY14" s="112"/>
      <c r="AZ14" s="194" t="s">
        <v>19</v>
      </c>
      <c r="BA14" s="194"/>
    </row>
    <row r="15" spans="1:53" x14ac:dyDescent="0.3">
      <c r="A15" s="171"/>
      <c r="B15" s="171"/>
      <c r="C15" s="171"/>
      <c r="D15" s="171"/>
      <c r="E15" s="171"/>
      <c r="F15" s="171"/>
      <c r="G15" s="171"/>
      <c r="H15" s="171"/>
      <c r="I15" s="171"/>
      <c r="J15" s="171"/>
      <c r="K15" s="171"/>
      <c r="L15" s="171"/>
      <c r="M15" s="171"/>
      <c r="N15" s="171"/>
      <c r="O15" s="171"/>
      <c r="P15" s="99"/>
      <c r="Q15" s="113"/>
      <c r="R15" s="113"/>
      <c r="S15" s="113"/>
      <c r="T15" s="113"/>
      <c r="U15" s="113"/>
      <c r="V15" s="113"/>
      <c r="W15" s="113"/>
      <c r="X15" s="113"/>
      <c r="Y15" s="227" t="s">
        <v>20</v>
      </c>
      <c r="Z15" s="227"/>
      <c r="AA15" s="227"/>
      <c r="AB15" s="227" t="s">
        <v>21</v>
      </c>
      <c r="AC15" s="227"/>
      <c r="AD15" s="227"/>
      <c r="AE15" s="227"/>
      <c r="AF15" s="227"/>
      <c r="AG15" s="228"/>
      <c r="AH15" s="228"/>
      <c r="AI15" s="228"/>
      <c r="AJ15" s="228"/>
      <c r="AK15" s="228"/>
      <c r="AL15" s="228"/>
      <c r="AM15" s="228"/>
      <c r="AN15" s="228"/>
      <c r="AO15" s="99"/>
      <c r="AP15" s="194"/>
      <c r="AQ15" s="194"/>
      <c r="AR15" s="194"/>
      <c r="AS15" s="102"/>
      <c r="AT15" s="194"/>
      <c r="AU15" s="194"/>
      <c r="AV15" s="194"/>
      <c r="AW15" s="194"/>
      <c r="AX15" s="194"/>
      <c r="AY15" s="112"/>
      <c r="AZ15" s="194"/>
      <c r="BA15" s="194"/>
    </row>
    <row r="16" spans="1:53" s="5" customFormat="1" ht="166.5" customHeight="1" x14ac:dyDescent="0.3">
      <c r="A16" s="114" t="s">
        <v>22</v>
      </c>
      <c r="B16" s="115" t="s">
        <v>23</v>
      </c>
      <c r="C16" s="116" t="s">
        <v>24</v>
      </c>
      <c r="D16" s="116" t="s">
        <v>25</v>
      </c>
      <c r="E16" s="117" t="s">
        <v>26</v>
      </c>
      <c r="F16" s="118" t="s">
        <v>27</v>
      </c>
      <c r="G16" s="119" t="s">
        <v>28</v>
      </c>
      <c r="H16" s="117" t="s">
        <v>29</v>
      </c>
      <c r="I16" s="116" t="s">
        <v>30</v>
      </c>
      <c r="J16" s="116" t="s">
        <v>31</v>
      </c>
      <c r="K16" s="117" t="s">
        <v>32</v>
      </c>
      <c r="L16" s="117" t="s">
        <v>33</v>
      </c>
      <c r="M16" s="116" t="s">
        <v>30</v>
      </c>
      <c r="N16" s="116" t="s">
        <v>34</v>
      </c>
      <c r="O16" s="120" t="s">
        <v>35</v>
      </c>
      <c r="P16" s="99"/>
      <c r="Q16" s="121" t="s">
        <v>36</v>
      </c>
      <c r="R16" s="38" t="s">
        <v>37</v>
      </c>
      <c r="S16" s="38" t="s">
        <v>38</v>
      </c>
      <c r="T16" s="38" t="s">
        <v>39</v>
      </c>
      <c r="U16" s="38" t="s">
        <v>40</v>
      </c>
      <c r="V16" s="38" t="s">
        <v>41</v>
      </c>
      <c r="W16" s="38" t="s">
        <v>42</v>
      </c>
      <c r="X16" s="73" t="s">
        <v>43</v>
      </c>
      <c r="Y16" s="121" t="s">
        <v>44</v>
      </c>
      <c r="Z16" s="121" t="s">
        <v>45</v>
      </c>
      <c r="AA16" s="121" t="s">
        <v>46</v>
      </c>
      <c r="AB16" s="225" t="s">
        <v>47</v>
      </c>
      <c r="AC16" s="226"/>
      <c r="AD16" s="121" t="s">
        <v>48</v>
      </c>
      <c r="AE16" s="225" t="s">
        <v>49</v>
      </c>
      <c r="AF16" s="226"/>
      <c r="AG16" s="120" t="s">
        <v>50</v>
      </c>
      <c r="AH16" s="120" t="s">
        <v>51</v>
      </c>
      <c r="AI16" s="120" t="s">
        <v>30</v>
      </c>
      <c r="AJ16" s="120" t="s">
        <v>52</v>
      </c>
      <c r="AK16" s="120" t="s">
        <v>30</v>
      </c>
      <c r="AL16" s="120" t="s">
        <v>34</v>
      </c>
      <c r="AM16" s="120" t="s">
        <v>53</v>
      </c>
      <c r="AN16" s="120" t="s">
        <v>54</v>
      </c>
      <c r="AO16" s="99"/>
      <c r="AP16" s="122" t="s">
        <v>55</v>
      </c>
      <c r="AQ16" s="122" t="s">
        <v>56</v>
      </c>
      <c r="AR16" s="38" t="s">
        <v>57</v>
      </c>
      <c r="AS16" s="123"/>
      <c r="AT16" s="124" t="s">
        <v>58</v>
      </c>
      <c r="AU16" s="42" t="s">
        <v>59</v>
      </c>
      <c r="AV16" s="42" t="s">
        <v>60</v>
      </c>
      <c r="AW16" s="124" t="s">
        <v>61</v>
      </c>
      <c r="AX16" s="124" t="s">
        <v>62</v>
      </c>
      <c r="AY16" s="104"/>
      <c r="AZ16" s="124" t="s">
        <v>63</v>
      </c>
      <c r="BA16" s="124" t="s">
        <v>64</v>
      </c>
    </row>
    <row r="17" spans="1:53" ht="409.6" x14ac:dyDescent="0.3">
      <c r="A17" s="93">
        <v>3</v>
      </c>
      <c r="B17" s="93" t="s">
        <v>106</v>
      </c>
      <c r="C17" s="125" t="s">
        <v>127</v>
      </c>
      <c r="D17" s="125" t="s">
        <v>128</v>
      </c>
      <c r="E17" s="125" t="s">
        <v>129</v>
      </c>
      <c r="F17" s="126"/>
      <c r="G17" s="93">
        <v>87</v>
      </c>
      <c r="H17" s="106" t="str">
        <f>IF(G17&lt;=0,"",IF(G17&lt;=2,"Muy Baja",IF(G17&lt;=24,"Baja",IF(G17&lt;=500,"Media",IF(G17&lt;=5000,"Alta","Muy Alta")))))</f>
        <v>Media</v>
      </c>
      <c r="I17" s="107">
        <f>IF(H17="","",IF(H17="Muy Baja",0.2,IF(H17="Baja",0.4,IF(H17="Media",0.6,IF(H17="Alta",0.8,IF(H17="Muy Alta",1,))))))</f>
        <v>0.6</v>
      </c>
      <c r="J17" s="108" t="s">
        <v>110</v>
      </c>
      <c r="K17" s="109" t="str">
        <f>+J17</f>
        <v>Afectación Menor o igual a 700 SMLMV</v>
      </c>
      <c r="L17" s="106" t="s">
        <v>130</v>
      </c>
      <c r="M17" s="107">
        <f>IF(L17="","",IF(L17="Leve",0.2,IF(L17="Menor",0.4,IF(L17="Moderado",0.6,IF(L17="Mayor",0.8,IF(L17="Catastrófico",1,))))))</f>
        <v>0.2</v>
      </c>
      <c r="N17" s="107" t="str">
        <f>+CONCATENATE(H17, " - ", L17)</f>
        <v>Media - Leve</v>
      </c>
      <c r="O17" s="98" t="e">
        <f>+VLOOKUP(N17,#REF!,2,)</f>
        <v>#REF!</v>
      </c>
      <c r="P17" s="99"/>
      <c r="Q17" s="100">
        <v>1</v>
      </c>
      <c r="R17" s="127" t="s">
        <v>131</v>
      </c>
      <c r="S17" s="143" t="s">
        <v>132</v>
      </c>
      <c r="T17" s="127" t="s">
        <v>133</v>
      </c>
      <c r="U17" s="127" t="s">
        <v>134</v>
      </c>
      <c r="V17" s="127" t="s">
        <v>135</v>
      </c>
      <c r="W17" s="127" t="s">
        <v>136</v>
      </c>
      <c r="X17" s="30" t="str">
        <f>IF(OR(Y17="Preventivo",Y17="Detectivo"),"Probabilidad",IF(Y17="Correctivo","Impacto",""))</f>
        <v>Probabilidad</v>
      </c>
      <c r="Y17" s="6" t="s">
        <v>76</v>
      </c>
      <c r="Z17" s="6" t="s">
        <v>77</v>
      </c>
      <c r="AA17" s="31" t="str">
        <f t="shared" ref="AA17" si="0">IF(AND(Y17="Preventivo",Z17="Automático"),"50%",IF(AND(Y17="Preventivo",Z17="Manual"),"40%",IF(AND(Y17="Detectivo",Z17="Automático"),"40%",IF(AND(Y17="Detectivo",Z17="Manual"),"30%",IF(AND(Y17="Correctivo",Z17="Automático"),"35%",IF(AND(Y17="Correctivo",Z17="Manual"),"25%",""))))))</f>
        <v>40%</v>
      </c>
      <c r="AB17" s="8" t="s">
        <v>78</v>
      </c>
      <c r="AC17" s="8" t="s">
        <v>137</v>
      </c>
      <c r="AD17" s="6" t="s">
        <v>99</v>
      </c>
      <c r="AE17" s="8" t="s">
        <v>81</v>
      </c>
      <c r="AF17" s="8" t="str">
        <f>+W17</f>
        <v>Seguimiento y gestión Cobro reconocimiento económico por incapacidades 
Correos enviados al funcionario y/o memorando de solicitud de reenvío de documentación o rectificación de fechas(cuando aplique)</v>
      </c>
      <c r="AG17" s="32">
        <f>IFERROR(IF(X17="Probabilidad",(I17-(+I17*AA17)),IF(X17="Impacto",I17,"")),"")</f>
        <v>0.36</v>
      </c>
      <c r="AH17" s="33" t="str">
        <f t="shared" ref="AH17" si="1">IFERROR(IF(AG17="","",IF(AG17&lt;=0.2,"Muy Baja",IF(AG17&lt;=0.4,"Baja",IF(AG17&lt;=0.6,"Media",IF(AG17&lt;=0.8,"Alta","Muy Alta"))))),"")</f>
        <v>Baja</v>
      </c>
      <c r="AI17" s="34">
        <f>I17-(AA17*I17)</f>
        <v>0.36</v>
      </c>
      <c r="AJ17" s="35" t="str">
        <f t="shared" ref="AJ17" si="2">IFERROR(IF(AK17="","",IF(AK17&lt;=0.2,"Leve",IF(AK17&lt;=0.4,"Menor",IF(AK17&lt;=0.6,"Moderado",IF(AK17&lt;=0.8,"Mayor","Catastrófico"))))),"")</f>
        <v>Leve</v>
      </c>
      <c r="AK17" s="32">
        <f>IFERROR(IF(X17="Impacto",(M17-(+M17*AA17)),IF(X17="Probabilidad",M17,"")),"")</f>
        <v>0.2</v>
      </c>
      <c r="AL17" s="36" t="str">
        <f>+CONCATENATE(AH17, " - ", AJ17)</f>
        <v>Baja - Leve</v>
      </c>
      <c r="AM17" s="37" t="e">
        <f>+VLOOKUP(AL17,#REF!,2,)</f>
        <v>#REF!</v>
      </c>
      <c r="AN17" s="101" t="s">
        <v>82</v>
      </c>
      <c r="AO17" s="99"/>
      <c r="AP17" s="75" t="s">
        <v>138</v>
      </c>
      <c r="AQ17" s="75"/>
      <c r="AR17" s="110"/>
      <c r="AS17" s="102"/>
      <c r="AT17" s="103">
        <v>46148</v>
      </c>
      <c r="AU17" s="135" t="s">
        <v>139</v>
      </c>
      <c r="AV17" s="136" t="s">
        <v>140</v>
      </c>
      <c r="AW17" s="132" t="s">
        <v>141</v>
      </c>
      <c r="AX17" s="134" t="s">
        <v>122</v>
      </c>
      <c r="AY17" s="104"/>
      <c r="AZ17" s="141" t="s">
        <v>142</v>
      </c>
      <c r="BA17" s="150" t="s">
        <v>143</v>
      </c>
    </row>
    <row r="18" spans="1:53" ht="93.75" customHeight="1" x14ac:dyDescent="0.3">
      <c r="B18" s="76"/>
      <c r="C18" s="77"/>
      <c r="D18" s="77"/>
      <c r="E18" s="77"/>
      <c r="F18" s="77"/>
      <c r="G18" s="76"/>
      <c r="H18" s="76"/>
      <c r="I18" s="78"/>
      <c r="J18" s="79"/>
      <c r="K18" s="80"/>
      <c r="L18" s="76"/>
      <c r="M18" s="78"/>
      <c r="N18" s="78"/>
      <c r="O18" s="81"/>
      <c r="P18" s="2"/>
      <c r="Q18" s="82"/>
      <c r="R18" s="22"/>
      <c r="S18" s="22"/>
      <c r="T18" s="22"/>
      <c r="U18" s="22"/>
      <c r="V18" s="22"/>
      <c r="W18" s="22"/>
      <c r="X18" s="82"/>
      <c r="Y18" s="83"/>
      <c r="Z18" s="83"/>
      <c r="AA18" s="84"/>
      <c r="AB18" s="85"/>
      <c r="AC18" s="86"/>
      <c r="AD18" s="83"/>
      <c r="AE18" s="85"/>
      <c r="AF18" s="85"/>
      <c r="AG18" s="87"/>
      <c r="AH18" s="83"/>
      <c r="AI18" s="88"/>
      <c r="AJ18" s="89"/>
      <c r="AK18" s="87"/>
      <c r="AL18" s="90"/>
      <c r="AM18" s="91"/>
      <c r="AN18" s="92"/>
      <c r="AO18" s="2"/>
      <c r="AP18" s="74"/>
      <c r="AQ18" s="74"/>
      <c r="AR18" s="74"/>
      <c r="AT18" s="45"/>
      <c r="AU18" s="130" t="s">
        <v>144</v>
      </c>
      <c r="AV18" s="47"/>
      <c r="AW18" s="48"/>
      <c r="AX18" s="49"/>
      <c r="AY18" s="27"/>
      <c r="AZ18" s="47"/>
      <c r="BA18" s="50"/>
    </row>
    <row r="19" spans="1:53" ht="20.399999999999999" x14ac:dyDescent="0.3">
      <c r="A19" s="152" t="s">
        <v>103</v>
      </c>
      <c r="B19" s="152"/>
      <c r="C19" s="152"/>
      <c r="D19" s="152"/>
      <c r="E19" s="152"/>
      <c r="F19" s="152"/>
      <c r="G19" s="152"/>
      <c r="H19" s="152"/>
      <c r="P19" s="2"/>
      <c r="AU19" s="20" t="s">
        <v>144</v>
      </c>
      <c r="BA19" s="39" t="s">
        <v>104</v>
      </c>
    </row>
    <row r="20" spans="1:53" x14ac:dyDescent="0.3">
      <c r="P20" s="2"/>
      <c r="AU20" s="20" t="s">
        <v>144</v>
      </c>
    </row>
    <row r="21" spans="1:53" x14ac:dyDescent="0.3">
      <c r="P21" s="2"/>
      <c r="AU21" s="20"/>
    </row>
    <row r="22" spans="1:53" x14ac:dyDescent="0.3">
      <c r="P22" s="2"/>
    </row>
    <row r="23" spans="1:53" x14ac:dyDescent="0.3">
      <c r="P23" s="2"/>
    </row>
    <row r="24" spans="1:53" x14ac:dyDescent="0.3">
      <c r="P24" s="2"/>
    </row>
    <row r="25" spans="1:53" x14ac:dyDescent="0.3">
      <c r="P25" s="2"/>
    </row>
    <row r="26" spans="1:53" x14ac:dyDescent="0.3">
      <c r="P26" s="2"/>
    </row>
    <row r="27" spans="1:53" x14ac:dyDescent="0.3">
      <c r="P27" s="2"/>
    </row>
  </sheetData>
  <mergeCells count="28">
    <mergeCell ref="AZ1:BA2"/>
    <mergeCell ref="AX3:AY4"/>
    <mergeCell ref="AZ3:BA4"/>
    <mergeCell ref="C5:AW8"/>
    <mergeCell ref="AX5:AY6"/>
    <mergeCell ref="AZ5:BA6"/>
    <mergeCell ref="AX7:AY8"/>
    <mergeCell ref="AZ7:BA8"/>
    <mergeCell ref="A12:C12"/>
    <mergeCell ref="D12:M12"/>
    <mergeCell ref="A1:B8"/>
    <mergeCell ref="C1:AW4"/>
    <mergeCell ref="AX1:AY2"/>
    <mergeCell ref="A10:C10"/>
    <mergeCell ref="D10:M10"/>
    <mergeCell ref="A11:C11"/>
    <mergeCell ref="D11:M11"/>
    <mergeCell ref="AP14:AR15"/>
    <mergeCell ref="AT14:AX15"/>
    <mergeCell ref="AZ14:BA15"/>
    <mergeCell ref="Y15:AA15"/>
    <mergeCell ref="AB15:AF15"/>
    <mergeCell ref="AG15:AN15"/>
    <mergeCell ref="A19:H19"/>
    <mergeCell ref="AB16:AC16"/>
    <mergeCell ref="AE16:AF16"/>
    <mergeCell ref="A14:O15"/>
    <mergeCell ref="Q14:AN14"/>
  </mergeCells>
  <conditionalFormatting sqref="H17:H18">
    <cfRule type="cellIs" dxfId="447" priority="20" operator="equal">
      <formula>"Muy Alta"</formula>
    </cfRule>
    <cfRule type="cellIs" dxfId="446" priority="21" operator="equal">
      <formula>"Alta"</formula>
    </cfRule>
    <cfRule type="cellIs" dxfId="445" priority="22" operator="equal">
      <formula>"Media"</formula>
    </cfRule>
    <cfRule type="cellIs" dxfId="444" priority="23" operator="equal">
      <formula>"Muy Baja"</formula>
    </cfRule>
    <cfRule type="cellIs" dxfId="443" priority="24" operator="equal">
      <formula>"Baja"</formula>
    </cfRule>
  </conditionalFormatting>
  <conditionalFormatting sqref="L17:L18">
    <cfRule type="cellIs" dxfId="442" priority="15" operator="equal">
      <formula>"Leve"</formula>
    </cfRule>
    <cfRule type="cellIs" dxfId="441" priority="16" operator="equal">
      <formula>"Catastrófico"</formula>
    </cfRule>
    <cfRule type="cellIs" dxfId="440" priority="17" operator="equal">
      <formula>"Mayor"</formula>
    </cfRule>
    <cfRule type="cellIs" dxfId="439" priority="18" operator="equal">
      <formula>"Moderado"</formula>
    </cfRule>
    <cfRule type="cellIs" dxfId="438" priority="19" operator="equal">
      <formula>"Menor"</formula>
    </cfRule>
  </conditionalFormatting>
  <conditionalFormatting sqref="O17:O18 AM17:AM18">
    <cfRule type="cellIs" dxfId="437" priority="11" operator="equal">
      <formula>"EXTREMO"</formula>
    </cfRule>
    <cfRule type="cellIs" dxfId="436" priority="12" operator="equal">
      <formula>"ALTO"</formula>
    </cfRule>
    <cfRule type="cellIs" dxfId="435" priority="13" operator="equal">
      <formula>"BAJO"</formula>
    </cfRule>
    <cfRule type="cellIs" dxfId="434" priority="14" operator="equal">
      <formula>"MODERADO"</formula>
    </cfRule>
  </conditionalFormatting>
  <conditionalFormatting sqref="AH17:AH18">
    <cfRule type="cellIs" dxfId="433" priority="6" operator="equal">
      <formula>"Muy Baja"</formula>
    </cfRule>
    <cfRule type="cellIs" dxfId="432" priority="7" operator="equal">
      <formula>"Baja"</formula>
    </cfRule>
    <cfRule type="cellIs" dxfId="431" priority="8" operator="equal">
      <formula>"Media"</formula>
    </cfRule>
    <cfRule type="cellIs" dxfId="430" priority="9" operator="equal">
      <formula>"Muy Alta"</formula>
    </cfRule>
    <cfRule type="cellIs" dxfId="429" priority="10" operator="equal">
      <formula>"Alta"</formula>
    </cfRule>
  </conditionalFormatting>
  <conditionalFormatting sqref="AJ17:AJ18">
    <cfRule type="cellIs" dxfId="428" priority="1" operator="equal">
      <formula>"Catastrófico"</formula>
    </cfRule>
    <cfRule type="cellIs" dxfId="427" priority="2" operator="equal">
      <formula>"Mayor"</formula>
    </cfRule>
    <cfRule type="cellIs" dxfId="426" priority="3" operator="equal">
      <formula>"Moderado"</formula>
    </cfRule>
    <cfRule type="cellIs" dxfId="425" priority="4" operator="equal">
      <formula>"Menor"</formula>
    </cfRule>
    <cfRule type="cellIs" dxfId="424" priority="5" operator="equal">
      <formula>"Leve"</formula>
    </cfRule>
  </conditionalFormatting>
  <hyperlinks>
    <hyperlink ref="A14:O15" location="Instructivo!A1" display="IDENTIFICACIÓN DEL RIESGO" xr:uid="{3AFAE478-1311-42E5-B8CE-1937CB963391}"/>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18F45857-E0BD-4F30-8294-57C78297452A}">
          <x14:formula1>
            <xm:f>#REF!</xm:f>
          </x14:formula1>
          <xm:sqref>J17:J18</xm:sqref>
        </x14:dataValidation>
        <x14:dataValidation type="list" allowBlank="1" showInputMessage="1" showErrorMessage="1" xr:uid="{FF2C6803-510B-429D-AB4F-1895353132C3}">
          <x14:formula1>
            <xm:f>#REF!</xm:f>
          </x14:formula1>
          <xm:sqref>B17:B18</xm:sqref>
        </x14:dataValidation>
        <x14:dataValidation type="list" allowBlank="1" showInputMessage="1" showErrorMessage="1" xr:uid="{7C0E6D8D-E3A7-4AF5-986D-8060B2CCEBA4}">
          <x14:formula1>
            <xm:f>#REF!</xm:f>
          </x14:formula1>
          <xm:sqref>AE17:AE18</xm:sqref>
        </x14:dataValidation>
        <x14:dataValidation type="list" allowBlank="1" showInputMessage="1" showErrorMessage="1" xr:uid="{F9DF0C80-FA42-4687-967E-F8926B9539EF}">
          <x14:formula1>
            <xm:f>#REF!</xm:f>
          </x14:formula1>
          <xm:sqref>AD17:AD18</xm:sqref>
        </x14:dataValidation>
        <x14:dataValidation type="list" allowBlank="1" showInputMessage="1" showErrorMessage="1" xr:uid="{BD5A6C61-C94E-459C-91BC-79704E61AE3B}">
          <x14:formula1>
            <xm:f>#REF!</xm:f>
          </x14:formula1>
          <xm:sqref>AB17:AB18</xm:sqref>
        </x14:dataValidation>
        <x14:dataValidation type="list" allowBlank="1" showInputMessage="1" showErrorMessage="1" xr:uid="{A9411CFA-E63C-4B46-BC2E-C9EB38E357FE}">
          <x14:formula1>
            <xm:f>#REF!</xm:f>
          </x14:formula1>
          <xm:sqref>F17:F18</xm:sqref>
        </x14:dataValidation>
        <x14:dataValidation type="list" allowBlank="1" showInputMessage="1" showErrorMessage="1" xr:uid="{A40496F1-22EA-43F3-B26D-BFC531A79004}">
          <x14:formula1>
            <xm:f>#REF!</xm:f>
          </x14:formula1>
          <xm:sqref>Z17:Z18</xm:sqref>
        </x14:dataValidation>
        <x14:dataValidation type="list" allowBlank="1" showInputMessage="1" showErrorMessage="1" xr:uid="{7032B75A-8AA9-4CC7-A711-4000C43FEFAD}">
          <x14:formula1>
            <xm:f>#REF!</xm:f>
          </x14:formula1>
          <xm:sqref>Y17:Y18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D93F0-F261-4315-B7A9-F299BC999407}">
  <sheetPr>
    <tabColor theme="0"/>
    <pageSetUpPr fitToPage="1"/>
  </sheetPr>
  <dimension ref="A1:BA33"/>
  <sheetViews>
    <sheetView showGridLines="0" topLeftCell="AR17" zoomScale="72" zoomScaleNormal="72" workbookViewId="0">
      <selection activeCell="AV17" sqref="AV17:AV23"/>
    </sheetView>
  </sheetViews>
  <sheetFormatPr baseColWidth="10" defaultColWidth="11.44140625" defaultRowHeight="15.75" customHeight="1" x14ac:dyDescent="0.3"/>
  <cols>
    <col min="2" max="2" width="27.109375" customWidth="1"/>
    <col min="3" max="3" width="26" customWidth="1"/>
    <col min="4" max="4" width="28.44140625" customWidth="1"/>
    <col min="5" max="5" width="25.44140625" customWidth="1"/>
    <col min="6" max="6" width="25.44140625" hidden="1" customWidth="1"/>
    <col min="7" max="8" width="20" customWidth="1"/>
    <col min="9" max="9" width="9.44140625" customWidth="1"/>
    <col min="10" max="10" width="25.44140625" customWidth="1"/>
    <col min="11" max="11" width="32.88671875" customWidth="1"/>
    <col min="12" max="12" width="20"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23" width="46.6640625" style="1" customWidth="1"/>
    <col min="24" max="24" width="15.88671875" style="1" customWidth="1"/>
    <col min="25" max="27" width="10.33203125" style="1" customWidth="1"/>
    <col min="28" max="28" width="6" style="1" customWidth="1"/>
    <col min="29" max="29" width="13.6640625" style="1" customWidth="1"/>
    <col min="30" max="30" width="7.44140625" style="1" customWidth="1"/>
    <col min="31" max="31" width="5.6640625" style="1" customWidth="1"/>
    <col min="32" max="32" width="22.33203125"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1" width="7.6640625" style="4" customWidth="1"/>
    <col min="42" max="42" width="33.44140625" style="4" customWidth="1"/>
    <col min="43" max="43" width="26.5546875" style="1" customWidth="1"/>
    <col min="44" max="44" width="20.88671875" style="1" customWidth="1"/>
    <col min="45" max="45" width="1" customWidth="1"/>
    <col min="46" max="46" width="18.33203125" customWidth="1"/>
    <col min="47" max="47" width="45" customWidth="1"/>
    <col min="48" max="48" width="51.44140625" customWidth="1"/>
    <col min="49" max="49" width="28.44140625" customWidth="1"/>
    <col min="50" max="50" width="29.33203125" customWidth="1"/>
    <col min="51" max="51" width="1" customWidth="1"/>
    <col min="52" max="52" width="45" style="232" customWidth="1"/>
    <col min="53" max="53" width="55.3320312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4</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399999999999999"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7</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45828</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29" t="s">
        <v>155</v>
      </c>
      <c r="E10" s="230"/>
      <c r="F10" s="230"/>
      <c r="G10" s="230"/>
      <c r="H10" s="230"/>
      <c r="I10" s="230"/>
      <c r="J10" s="230"/>
      <c r="K10" s="230"/>
      <c r="L10" s="230"/>
      <c r="M10" s="231"/>
      <c r="N10" s="21"/>
      <c r="AN10" s="1"/>
      <c r="AO10" s="1"/>
      <c r="AP10" s="1"/>
    </row>
    <row r="11" spans="1:53" s="3" customFormat="1" ht="75" customHeight="1" x14ac:dyDescent="0.3">
      <c r="A11" s="194" t="s">
        <v>11</v>
      </c>
      <c r="B11" s="194"/>
      <c r="C11" s="194"/>
      <c r="D11" s="233" t="s">
        <v>156</v>
      </c>
      <c r="E11" s="234"/>
      <c r="F11" s="234"/>
      <c r="G11" s="234"/>
      <c r="H11" s="234"/>
      <c r="I11" s="234"/>
      <c r="J11" s="234"/>
      <c r="K11" s="234"/>
      <c r="L11" s="234"/>
      <c r="M11" s="235"/>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Z11" s="232"/>
    </row>
    <row r="12" spans="1:53" s="3" customFormat="1" ht="75" customHeight="1" x14ac:dyDescent="0.3">
      <c r="A12" s="194" t="s">
        <v>13</v>
      </c>
      <c r="B12" s="194"/>
      <c r="C12" s="194"/>
      <c r="D12" s="233" t="s">
        <v>157</v>
      </c>
      <c r="E12" s="234"/>
      <c r="F12" s="234"/>
      <c r="G12" s="234"/>
      <c r="H12" s="234"/>
      <c r="I12" s="234"/>
      <c r="J12" s="234"/>
      <c r="K12" s="234"/>
      <c r="L12" s="234"/>
      <c r="M12" s="235"/>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Z12" s="232"/>
    </row>
    <row r="13" spans="1:53" s="3" customFormat="1" ht="24.75" customHeight="1" x14ac:dyDescent="0.3">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Z13" s="232"/>
    </row>
    <row r="14" spans="1:53" s="3" customFormat="1" ht="24.75" customHeight="1" x14ac:dyDescent="0.3">
      <c r="A14" s="171" t="s">
        <v>15</v>
      </c>
      <c r="B14" s="171"/>
      <c r="C14" s="171"/>
      <c r="D14" s="171"/>
      <c r="E14" s="171"/>
      <c r="F14" s="171"/>
      <c r="G14" s="171"/>
      <c r="H14" s="171"/>
      <c r="I14" s="171"/>
      <c r="J14" s="171"/>
      <c r="K14" s="171"/>
      <c r="L14" s="171"/>
      <c r="M14" s="171"/>
      <c r="N14" s="171"/>
      <c r="O14" s="171"/>
      <c r="P14" s="99"/>
      <c r="Q14" s="227" t="s">
        <v>16</v>
      </c>
      <c r="R14" s="227"/>
      <c r="S14" s="227"/>
      <c r="T14" s="227"/>
      <c r="U14" s="227"/>
      <c r="V14" s="227"/>
      <c r="W14" s="227"/>
      <c r="X14" s="227"/>
      <c r="Y14" s="227"/>
      <c r="Z14" s="227"/>
      <c r="AA14" s="227"/>
      <c r="AB14" s="227"/>
      <c r="AC14" s="227"/>
      <c r="AD14" s="227"/>
      <c r="AE14" s="227"/>
      <c r="AF14" s="227"/>
      <c r="AG14" s="227"/>
      <c r="AH14" s="227"/>
      <c r="AI14" s="227"/>
      <c r="AJ14" s="227"/>
      <c r="AK14" s="227"/>
      <c r="AL14" s="227"/>
      <c r="AM14" s="227"/>
      <c r="AN14" s="227"/>
      <c r="AO14" s="99"/>
      <c r="AP14" s="194" t="s">
        <v>17</v>
      </c>
      <c r="AQ14" s="194"/>
      <c r="AR14" s="194"/>
      <c r="AS14" s="111"/>
      <c r="AT14" s="194" t="s">
        <v>18</v>
      </c>
      <c r="AU14" s="194"/>
      <c r="AV14" s="194"/>
      <c r="AW14" s="194"/>
      <c r="AX14" s="194"/>
      <c r="AY14" s="112"/>
      <c r="AZ14" s="194" t="s">
        <v>19</v>
      </c>
      <c r="BA14" s="194"/>
    </row>
    <row r="15" spans="1:53" ht="15.6" x14ac:dyDescent="0.3">
      <c r="A15" s="171"/>
      <c r="B15" s="171"/>
      <c r="C15" s="171"/>
      <c r="D15" s="171"/>
      <c r="E15" s="171"/>
      <c r="F15" s="171"/>
      <c r="G15" s="171"/>
      <c r="H15" s="171"/>
      <c r="I15" s="171"/>
      <c r="J15" s="171"/>
      <c r="K15" s="171"/>
      <c r="L15" s="171"/>
      <c r="M15" s="171"/>
      <c r="N15" s="171"/>
      <c r="O15" s="171"/>
      <c r="P15" s="99"/>
      <c r="Q15" s="113"/>
      <c r="R15" s="113"/>
      <c r="S15" s="113"/>
      <c r="T15" s="113"/>
      <c r="U15" s="113"/>
      <c r="V15" s="113"/>
      <c r="W15" s="113"/>
      <c r="X15" s="113"/>
      <c r="Y15" s="227" t="s">
        <v>20</v>
      </c>
      <c r="Z15" s="227"/>
      <c r="AA15" s="227"/>
      <c r="AB15" s="227" t="s">
        <v>21</v>
      </c>
      <c r="AC15" s="227"/>
      <c r="AD15" s="227"/>
      <c r="AE15" s="227"/>
      <c r="AF15" s="227"/>
      <c r="AG15" s="228"/>
      <c r="AH15" s="228"/>
      <c r="AI15" s="228"/>
      <c r="AJ15" s="228"/>
      <c r="AK15" s="228"/>
      <c r="AL15" s="228"/>
      <c r="AM15" s="228"/>
      <c r="AN15" s="228"/>
      <c r="AO15" s="99"/>
      <c r="AP15" s="194"/>
      <c r="AQ15" s="194"/>
      <c r="AR15" s="194"/>
      <c r="AS15" s="102"/>
      <c r="AT15" s="194"/>
      <c r="AU15" s="194"/>
      <c r="AV15" s="194"/>
      <c r="AW15" s="194"/>
      <c r="AX15" s="194"/>
      <c r="AY15" s="112"/>
      <c r="AZ15" s="194"/>
      <c r="BA15" s="194"/>
    </row>
    <row r="16" spans="1:53" s="5" customFormat="1" ht="166.5" customHeight="1" x14ac:dyDescent="0.3">
      <c r="A16" s="114" t="s">
        <v>22</v>
      </c>
      <c r="B16" s="115" t="s">
        <v>23</v>
      </c>
      <c r="C16" s="116" t="s">
        <v>24</v>
      </c>
      <c r="D16" s="116" t="s">
        <v>25</v>
      </c>
      <c r="E16" s="117" t="s">
        <v>26</v>
      </c>
      <c r="F16" s="118" t="s">
        <v>27</v>
      </c>
      <c r="G16" s="119" t="s">
        <v>28</v>
      </c>
      <c r="H16" s="117" t="s">
        <v>29</v>
      </c>
      <c r="I16" s="116" t="s">
        <v>30</v>
      </c>
      <c r="J16" s="116" t="s">
        <v>31</v>
      </c>
      <c r="K16" s="117" t="s">
        <v>32</v>
      </c>
      <c r="L16" s="117" t="s">
        <v>33</v>
      </c>
      <c r="M16" s="116" t="s">
        <v>30</v>
      </c>
      <c r="N16" s="116" t="s">
        <v>34</v>
      </c>
      <c r="O16" s="120" t="s">
        <v>35</v>
      </c>
      <c r="P16" s="99"/>
      <c r="Q16" s="121" t="s">
        <v>36</v>
      </c>
      <c r="R16" s="38" t="s">
        <v>37</v>
      </c>
      <c r="S16" s="38" t="s">
        <v>38</v>
      </c>
      <c r="T16" s="38" t="s">
        <v>39</v>
      </c>
      <c r="U16" s="38" t="s">
        <v>40</v>
      </c>
      <c r="V16" s="38" t="s">
        <v>41</v>
      </c>
      <c r="W16" s="38" t="s">
        <v>42</v>
      </c>
      <c r="X16" s="73" t="s">
        <v>43</v>
      </c>
      <c r="Y16" s="121" t="s">
        <v>44</v>
      </c>
      <c r="Z16" s="121" t="s">
        <v>45</v>
      </c>
      <c r="AA16" s="121" t="s">
        <v>46</v>
      </c>
      <c r="AB16" s="225" t="s">
        <v>47</v>
      </c>
      <c r="AC16" s="226"/>
      <c r="AD16" s="121" t="s">
        <v>48</v>
      </c>
      <c r="AE16" s="225" t="s">
        <v>49</v>
      </c>
      <c r="AF16" s="226"/>
      <c r="AG16" s="120" t="s">
        <v>50</v>
      </c>
      <c r="AH16" s="120" t="s">
        <v>51</v>
      </c>
      <c r="AI16" s="120" t="s">
        <v>30</v>
      </c>
      <c r="AJ16" s="120" t="s">
        <v>52</v>
      </c>
      <c r="AK16" s="120" t="s">
        <v>30</v>
      </c>
      <c r="AL16" s="120" t="s">
        <v>34</v>
      </c>
      <c r="AM16" s="120" t="s">
        <v>53</v>
      </c>
      <c r="AN16" s="120" t="s">
        <v>54</v>
      </c>
      <c r="AO16" s="99"/>
      <c r="AP16" s="122" t="s">
        <v>55</v>
      </c>
      <c r="AQ16" s="122" t="s">
        <v>56</v>
      </c>
      <c r="AR16" s="38" t="s">
        <v>57</v>
      </c>
      <c r="AS16" s="123"/>
      <c r="AT16" s="124" t="s">
        <v>58</v>
      </c>
      <c r="AU16" s="124" t="s">
        <v>59</v>
      </c>
      <c r="AV16" s="124" t="s">
        <v>60</v>
      </c>
      <c r="AW16" s="124" t="s">
        <v>61</v>
      </c>
      <c r="AX16" s="124" t="s">
        <v>62</v>
      </c>
      <c r="AY16" s="104"/>
      <c r="AZ16" s="236" t="s">
        <v>63</v>
      </c>
      <c r="BA16" s="124" t="s">
        <v>64</v>
      </c>
    </row>
    <row r="17" spans="1:53" ht="267.89999999999998" customHeight="1" x14ac:dyDescent="0.3">
      <c r="A17" s="163">
        <v>1</v>
      </c>
      <c r="B17" s="237" t="s">
        <v>106</v>
      </c>
      <c r="C17" s="165" t="s">
        <v>158</v>
      </c>
      <c r="D17" s="165" t="s">
        <v>159</v>
      </c>
      <c r="E17" s="165" t="s">
        <v>160</v>
      </c>
      <c r="F17" s="165"/>
      <c r="G17" s="163">
        <v>1059</v>
      </c>
      <c r="H17" s="160" t="str">
        <f>IF(G17&lt;=0,"",IF(G17&lt;=2,"Muy Baja",IF(G17&lt;=24,"Baja",IF(G17&lt;=500,"Media",IF(G17&lt;=5000,"Alta","Muy Alta")))))</f>
        <v>Alta</v>
      </c>
      <c r="I17" s="157">
        <f>IF(H17="","",IF(H17="Muy Baja",0.2,IF(H17="Baja",0.4,IF(H17="Media",0.6,IF(H17="Alta",0.8,IF(H17="Muy Alta",1,))))))</f>
        <v>0.8</v>
      </c>
      <c r="J17" s="238" t="s">
        <v>148</v>
      </c>
      <c r="K17" s="239" t="str">
        <f>+J17</f>
        <v xml:space="preserve">Afectación mayor a 3000 SMLMV </v>
      </c>
      <c r="L17" s="160" t="e">
        <f>+VLOOKUP(K17,#REF!,2,FALSE)</f>
        <v>#REF!</v>
      </c>
      <c r="M17" s="157" t="e">
        <f>IF(L17="","",IF(L17="Leve",0.2,IF(L17="Menor",0.4,IF(L17="Moderado",0.6,IF(L17="Mayor",0.8,IF(L17="Catastrófico",1,))))))</f>
        <v>#REF!</v>
      </c>
      <c r="N17" s="157" t="e">
        <f>+CONCATENATE(H17, " - ", L17)</f>
        <v>#REF!</v>
      </c>
      <c r="O17" s="240" t="e">
        <f>+VLOOKUP(N17,#REF!,2,)</f>
        <v>#REF!</v>
      </c>
      <c r="P17" s="99"/>
      <c r="Q17" s="241">
        <v>1</v>
      </c>
      <c r="R17" s="127" t="s">
        <v>161</v>
      </c>
      <c r="S17" s="127" t="s">
        <v>162</v>
      </c>
      <c r="T17" s="127" t="s">
        <v>163</v>
      </c>
      <c r="U17" s="127" t="s">
        <v>164</v>
      </c>
      <c r="V17" s="127" t="s">
        <v>165</v>
      </c>
      <c r="W17" s="127" t="s">
        <v>166</v>
      </c>
      <c r="X17" s="30" t="str">
        <f>IF(OR(Y17="Preventivo",Y17="Detectivo"),"Probabilidad",IF(Y17="Correctivo","Impacto",""))</f>
        <v>Probabilidad</v>
      </c>
      <c r="Y17" s="6" t="s">
        <v>98</v>
      </c>
      <c r="Z17" s="6" t="s">
        <v>77</v>
      </c>
      <c r="AA17" s="31" t="str">
        <f t="shared" ref="AA17:AA23" si="0">IF(AND(Y17="Preventivo",Z17="Automático"),"50%",IF(AND(Y17="Preventivo",Z17="Manual"),"40%",IF(AND(Y17="Detectivo",Z17="Automático"),"40%",IF(AND(Y17="Detectivo",Z17="Manual"),"30%",IF(AND(Y17="Correctivo",Z17="Automático"),"35%",IF(AND(Y17="Correctivo",Z17="Manual"),"25%",""))))))</f>
        <v>30%</v>
      </c>
      <c r="AB17" s="8" t="s">
        <v>78</v>
      </c>
      <c r="AC17" s="242" t="s">
        <v>167</v>
      </c>
      <c r="AD17" s="6" t="s">
        <v>99</v>
      </c>
      <c r="AE17" s="8" t="s">
        <v>81</v>
      </c>
      <c r="AF17" s="8" t="str">
        <f>+W17</f>
        <v xml:space="preserve">Consolidado Integral de Generación de Residuos A-GAM-FT-005
Correos electrónicos ( Cuando aplique) </v>
      </c>
      <c r="AG17" s="32">
        <f>IFERROR(IF(X17="Probabilidad",(I17-(+I17*AA17)),IF(X17="Impacto",I17,"")),"")</f>
        <v>0.56000000000000005</v>
      </c>
      <c r="AH17" s="33" t="str">
        <f t="shared" ref="AH17:AH23" si="1">IFERROR(IF(AG17="","",IF(AG17&lt;=0.2,"Muy Baja",IF(AG17&lt;=0.4,"Baja",IF(AG17&lt;=0.6,"Media",IF(AG17&lt;=0.8,"Alta","Muy Alta"))))),"")</f>
        <v>Media</v>
      </c>
      <c r="AI17" s="34">
        <f>I17-(AA17*I17)</f>
        <v>0.56000000000000005</v>
      </c>
      <c r="AJ17" s="35" t="str">
        <f t="shared" ref="AJ17:AJ23" si="2">IFERROR(IF(AK17="","",IF(AK17&lt;=0.2,"Leve",IF(AK17&lt;=0.4,"Menor",IF(AK17&lt;=0.6,"Moderado",IF(AK17&lt;=0.8,"Mayor","Catastrófico"))))),"")</f>
        <v/>
      </c>
      <c r="AK17" s="32" t="str">
        <f>IFERROR(IF(X17="Impacto",(M17-(+M17*AA17)),IF(X17="Probabilidad",M17,"")),"")</f>
        <v/>
      </c>
      <c r="AL17" s="36" t="str">
        <f>+CONCATENATE(AH17, " - ", AJ17)</f>
        <v xml:space="preserve">Media - </v>
      </c>
      <c r="AM17" s="37" t="e">
        <f>+VLOOKUP(AL17,#REF!,2,)</f>
        <v>#REF!</v>
      </c>
      <c r="AN17" s="154" t="s">
        <v>82</v>
      </c>
      <c r="AO17" s="99"/>
      <c r="AP17" s="243" t="s">
        <v>168</v>
      </c>
      <c r="AQ17" s="244" t="s">
        <v>169</v>
      </c>
      <c r="AR17" s="245">
        <v>46264</v>
      </c>
      <c r="AS17" s="102"/>
      <c r="AT17" s="103">
        <v>46156</v>
      </c>
      <c r="AU17" s="246" t="s">
        <v>170</v>
      </c>
      <c r="AV17" s="247" t="s">
        <v>171</v>
      </c>
      <c r="AW17" s="248" t="s">
        <v>172</v>
      </c>
      <c r="AX17" s="249" t="s">
        <v>172</v>
      </c>
      <c r="AY17" s="104"/>
      <c r="AZ17" s="137" t="s">
        <v>173</v>
      </c>
      <c r="BA17" s="250" t="s">
        <v>174</v>
      </c>
    </row>
    <row r="18" spans="1:53" ht="219" customHeight="1" x14ac:dyDescent="0.3">
      <c r="A18" s="163"/>
      <c r="B18" s="237"/>
      <c r="C18" s="165"/>
      <c r="D18" s="165"/>
      <c r="E18" s="165"/>
      <c r="F18" s="165"/>
      <c r="G18" s="163"/>
      <c r="H18" s="160"/>
      <c r="I18" s="157"/>
      <c r="J18" s="238"/>
      <c r="K18" s="239"/>
      <c r="L18" s="160"/>
      <c r="M18" s="157"/>
      <c r="N18" s="157"/>
      <c r="O18" s="240"/>
      <c r="P18" s="99"/>
      <c r="Q18" s="100">
        <v>2</v>
      </c>
      <c r="R18" s="127" t="s">
        <v>175</v>
      </c>
      <c r="S18" s="127" t="s">
        <v>176</v>
      </c>
      <c r="T18" s="127" t="s">
        <v>177</v>
      </c>
      <c r="U18" s="127" t="s">
        <v>178</v>
      </c>
      <c r="V18" s="127" t="s">
        <v>179</v>
      </c>
      <c r="W18" s="127" t="s">
        <v>180</v>
      </c>
      <c r="X18" s="30" t="str">
        <f t="shared" ref="X18:X23" si="3">IF(OR(Y18="Preventivo",Y18="Detectivo"),"Probabilidad",IF(Y18="Correctivo","Impacto",""))</f>
        <v>Probabilidad</v>
      </c>
      <c r="Y18" s="6" t="s">
        <v>76</v>
      </c>
      <c r="Z18" s="6" t="s">
        <v>77</v>
      </c>
      <c r="AA18" s="31" t="str">
        <f t="shared" si="0"/>
        <v>40%</v>
      </c>
      <c r="AB18" s="8" t="s">
        <v>78</v>
      </c>
      <c r="AC18" s="242" t="s">
        <v>181</v>
      </c>
      <c r="AD18" s="6" t="s">
        <v>99</v>
      </c>
      <c r="AE18" s="8" t="s">
        <v>81</v>
      </c>
      <c r="AF18" s="8" t="str">
        <f t="shared" ref="AF18:AF23" si="4">+W18</f>
        <v>Contratos firmados / Actas de modificación de adición y prórroga de los contratos
Plan anual de adquisiciones, requerimiento técnico y anexo técnico y la radicación del proceso contractual ante la Gerencia de Contratación.( Cuando aplique)</v>
      </c>
      <c r="AG18" s="34">
        <f>IFERROR(IF(AND(X17="Probabilidad",X18="Probabilidad"),(AI17-(+AI17*AA18)),IF(X18="Probabilidad",($I$17-(+$I$17*AA18)),IF(X18="Impacto",AI17,""))),"")</f>
        <v>0.33600000000000002</v>
      </c>
      <c r="AH18" s="33" t="str">
        <f t="shared" si="1"/>
        <v>Baja</v>
      </c>
      <c r="AI18" s="34">
        <f t="shared" ref="AI18:AI23" si="5">+AG18</f>
        <v>0.33600000000000002</v>
      </c>
      <c r="AJ18" s="35" t="str">
        <f t="shared" si="2"/>
        <v/>
      </c>
      <c r="AK18" s="32" t="str">
        <f t="shared" ref="AK18" si="6">IFERROR(IF(AND(X17="Impacto",X17="Impacto"),(AK17-(+AK17*AA18)),IF(X18="Impacto",($M$17-(+$M$17*AA18)),IF(X18="Probabilidad",AK17,""))),"")</f>
        <v/>
      </c>
      <c r="AL18" s="36" t="str">
        <f t="shared" ref="AL18:AL23" si="7">+CONCATENATE(AH18, " - ", AJ18)</f>
        <v xml:space="preserve">Baja - </v>
      </c>
      <c r="AM18" s="37" t="e">
        <f>+VLOOKUP(AL18,#REF!,2,)</f>
        <v>#REF!</v>
      </c>
      <c r="AN18" s="154"/>
      <c r="AO18" s="99"/>
      <c r="AP18" s="243"/>
      <c r="AQ18" s="244"/>
      <c r="AR18" s="245"/>
      <c r="AS18" s="102"/>
      <c r="AT18" s="103">
        <v>46156</v>
      </c>
      <c r="AU18" s="246" t="s">
        <v>182</v>
      </c>
      <c r="AV18" s="251"/>
      <c r="AW18" s="252"/>
      <c r="AX18" s="249"/>
      <c r="AY18" s="104"/>
      <c r="AZ18" s="137" t="s">
        <v>183</v>
      </c>
      <c r="BA18" s="248"/>
    </row>
    <row r="19" spans="1:53" ht="231.9" customHeight="1" x14ac:dyDescent="0.3">
      <c r="A19" s="163"/>
      <c r="B19" s="237"/>
      <c r="C19" s="165"/>
      <c r="D19" s="165"/>
      <c r="E19" s="165"/>
      <c r="F19" s="165"/>
      <c r="G19" s="163"/>
      <c r="H19" s="160"/>
      <c r="I19" s="157"/>
      <c r="J19" s="238"/>
      <c r="K19" s="239"/>
      <c r="L19" s="160"/>
      <c r="M19" s="157"/>
      <c r="N19" s="157"/>
      <c r="O19" s="240"/>
      <c r="P19" s="99"/>
      <c r="Q19" s="241">
        <v>3</v>
      </c>
      <c r="R19" s="127" t="s">
        <v>184</v>
      </c>
      <c r="S19" s="253" t="s">
        <v>185</v>
      </c>
      <c r="T19" s="254" t="s">
        <v>186</v>
      </c>
      <c r="U19" s="127" t="s">
        <v>187</v>
      </c>
      <c r="V19" s="127" t="s">
        <v>188</v>
      </c>
      <c r="W19" s="127" t="s">
        <v>189</v>
      </c>
      <c r="X19" s="30" t="str">
        <f t="shared" si="3"/>
        <v>Probabilidad</v>
      </c>
      <c r="Y19" s="6" t="s">
        <v>76</v>
      </c>
      <c r="Z19" s="6" t="s">
        <v>77</v>
      </c>
      <c r="AA19" s="31" t="str">
        <f t="shared" si="0"/>
        <v>40%</v>
      </c>
      <c r="AB19" s="8" t="s">
        <v>78</v>
      </c>
      <c r="AC19" s="242" t="s">
        <v>190</v>
      </c>
      <c r="AD19" s="6" t="s">
        <v>99</v>
      </c>
      <c r="AE19" s="8" t="s">
        <v>81</v>
      </c>
      <c r="AF19" s="8" t="str">
        <f t="shared" si="4"/>
        <v xml:space="preserve">Manifiestos de recolección de residuos 
y/o Certificaciones emitidas
Correos electrónicos ( Cuando aplique)
</v>
      </c>
      <c r="AG19" s="34">
        <f>IFERROR(IF(AND(X18="Probabilidad",X19="Probabilidad"),(AI18-(+AI18*AA19)),IF(X19="Probabilidad",($I$17-(+$I$17*AA19)),IF(X19="Impacto",AI18,""))),"")</f>
        <v>0.2016</v>
      </c>
      <c r="AH19" s="33" t="str">
        <f t="shared" si="1"/>
        <v>Baja</v>
      </c>
      <c r="AI19" s="34">
        <f t="shared" si="5"/>
        <v>0.2016</v>
      </c>
      <c r="AJ19" s="35" t="str">
        <f t="shared" si="2"/>
        <v/>
      </c>
      <c r="AK19" s="32" t="str">
        <f>IFERROR(IF(AND(X17="Impacto",X17="Impacto"),(AK17-(+AK17*AA19)),IF(X19="Impacto",($M$17-(+$M$17*AA19)),IF(X19="Probabilidad",AK17,""))),"")</f>
        <v/>
      </c>
      <c r="AL19" s="36" t="str">
        <f t="shared" si="7"/>
        <v xml:space="preserve">Baja - </v>
      </c>
      <c r="AM19" s="37" t="e">
        <f>+VLOOKUP(AL19,#REF!,2,)</f>
        <v>#REF!</v>
      </c>
      <c r="AN19" s="154"/>
      <c r="AO19" s="99"/>
      <c r="AP19" s="243"/>
      <c r="AQ19" s="244"/>
      <c r="AR19" s="245"/>
      <c r="AS19" s="102"/>
      <c r="AT19" s="103">
        <v>46156</v>
      </c>
      <c r="AU19" s="255" t="s">
        <v>191</v>
      </c>
      <c r="AV19" s="251"/>
      <c r="AW19" s="252"/>
      <c r="AX19" s="249"/>
      <c r="AY19" s="104"/>
      <c r="AZ19" s="137" t="s">
        <v>192</v>
      </c>
      <c r="BA19" s="248"/>
    </row>
    <row r="20" spans="1:53" ht="240" customHeight="1" x14ac:dyDescent="0.3">
      <c r="A20" s="163"/>
      <c r="B20" s="237"/>
      <c r="C20" s="165"/>
      <c r="D20" s="165"/>
      <c r="E20" s="165"/>
      <c r="F20" s="165"/>
      <c r="G20" s="163"/>
      <c r="H20" s="160"/>
      <c r="I20" s="157"/>
      <c r="J20" s="238"/>
      <c r="K20" s="239"/>
      <c r="L20" s="160"/>
      <c r="M20" s="157"/>
      <c r="N20" s="157"/>
      <c r="O20" s="240"/>
      <c r="P20" s="99"/>
      <c r="Q20" s="100">
        <v>4</v>
      </c>
      <c r="R20" s="127" t="s">
        <v>193</v>
      </c>
      <c r="S20" s="253" t="s">
        <v>185</v>
      </c>
      <c r="T20" s="254" t="s">
        <v>194</v>
      </c>
      <c r="U20" s="127" t="s">
        <v>195</v>
      </c>
      <c r="V20" s="127" t="s">
        <v>196</v>
      </c>
      <c r="W20" s="127" t="s">
        <v>197</v>
      </c>
      <c r="X20" s="30" t="str">
        <f t="shared" si="3"/>
        <v>Probabilidad</v>
      </c>
      <c r="Y20" s="6" t="s">
        <v>76</v>
      </c>
      <c r="Z20" s="6" t="s">
        <v>77</v>
      </c>
      <c r="AA20" s="31" t="str">
        <f t="shared" si="0"/>
        <v>40%</v>
      </c>
      <c r="AB20" s="8" t="s">
        <v>78</v>
      </c>
      <c r="AC20" s="242" t="s">
        <v>198</v>
      </c>
      <c r="AD20" s="6" t="s">
        <v>99</v>
      </c>
      <c r="AE20" s="8" t="s">
        <v>81</v>
      </c>
      <c r="AF20" s="8" t="str">
        <f t="shared" si="4"/>
        <v xml:space="preserve">A-GOD-FT-004 ACTA /  A-GDH-FT-010 
REGISTRO DE ASISTENCIA COMITÉ, JUNTA, REUNION
</v>
      </c>
      <c r="AG20" s="34">
        <f t="shared" ref="AG20:AG23" si="8">IFERROR(IF(AND(X19="Probabilidad",X20="Probabilidad"),(AI19-(+AI19*AA20)),IF(X20="Probabilidad",($I$17-(+$I$17*AA20)),IF(X20="Impacto",AI19,""))),"")</f>
        <v>0.12096</v>
      </c>
      <c r="AH20" s="33" t="str">
        <f t="shared" si="1"/>
        <v>Muy Baja</v>
      </c>
      <c r="AI20" s="34">
        <f t="shared" si="5"/>
        <v>0.12096</v>
      </c>
      <c r="AJ20" s="35" t="str">
        <f t="shared" si="2"/>
        <v/>
      </c>
      <c r="AK20" s="32" t="str">
        <f t="shared" ref="AK20:AK21" si="9">IFERROR(IF(AND(X18="Impacto",X18="Impacto"),(AK18-(+AK18*AA20)),IF(X20="Impacto",($M$17-(+$M$17*AA20)),IF(X20="Probabilidad",AK18,""))),"")</f>
        <v/>
      </c>
      <c r="AL20" s="36" t="str">
        <f t="shared" si="7"/>
        <v xml:space="preserve">Muy Baja - </v>
      </c>
      <c r="AM20" s="37" t="e">
        <f>+VLOOKUP(AL20,#REF!,2,)</f>
        <v>#REF!</v>
      </c>
      <c r="AN20" s="154"/>
      <c r="AO20" s="99"/>
      <c r="AP20" s="243"/>
      <c r="AQ20" s="244"/>
      <c r="AR20" s="245"/>
      <c r="AS20" s="102"/>
      <c r="AT20" s="103">
        <v>46156</v>
      </c>
      <c r="AU20" s="255" t="s">
        <v>199</v>
      </c>
      <c r="AV20" s="251"/>
      <c r="AW20" s="252"/>
      <c r="AX20" s="249"/>
      <c r="AY20" s="104"/>
      <c r="AZ20" s="137" t="s">
        <v>200</v>
      </c>
      <c r="BA20" s="248"/>
    </row>
    <row r="21" spans="1:53" ht="245.1" customHeight="1" x14ac:dyDescent="0.3">
      <c r="A21" s="163"/>
      <c r="B21" s="237"/>
      <c r="C21" s="165"/>
      <c r="D21" s="165"/>
      <c r="E21" s="165"/>
      <c r="F21" s="165"/>
      <c r="G21" s="163"/>
      <c r="H21" s="160"/>
      <c r="I21" s="157"/>
      <c r="J21" s="238"/>
      <c r="K21" s="239"/>
      <c r="L21" s="160"/>
      <c r="M21" s="157"/>
      <c r="N21" s="157"/>
      <c r="O21" s="240"/>
      <c r="P21" s="99"/>
      <c r="Q21" s="241">
        <v>5</v>
      </c>
      <c r="R21" s="127" t="s">
        <v>201</v>
      </c>
      <c r="S21" s="253" t="s">
        <v>202</v>
      </c>
      <c r="T21" s="254" t="s">
        <v>203</v>
      </c>
      <c r="U21" s="127" t="s">
        <v>204</v>
      </c>
      <c r="V21" s="127" t="s">
        <v>205</v>
      </c>
      <c r="W21" s="127" t="s">
        <v>206</v>
      </c>
      <c r="X21" s="30" t="str">
        <f t="shared" si="3"/>
        <v>Impacto</v>
      </c>
      <c r="Y21" s="6" t="s">
        <v>151</v>
      </c>
      <c r="Z21" s="6" t="s">
        <v>77</v>
      </c>
      <c r="AA21" s="31" t="str">
        <f t="shared" si="0"/>
        <v>25%</v>
      </c>
      <c r="AB21" s="8" t="s">
        <v>78</v>
      </c>
      <c r="AC21" s="242" t="s">
        <v>207</v>
      </c>
      <c r="AD21" s="6" t="s">
        <v>99</v>
      </c>
      <c r="AE21" s="8" t="s">
        <v>81</v>
      </c>
      <c r="AF21" s="8" t="str">
        <f t="shared" si="4"/>
        <v>Formatos: A-GAM-FT 014 Seguimiento a Programas PIGA y Manual de Saneamiento Básico
 A-GDO-FT-004 Acta de Visita y/o A-GAM-FT-007 Informe de gestión ambiental a sedes y/o unidades, seguimiento a de acuerdo con el procedimiento de A-GAM-PR-002</v>
      </c>
      <c r="AG21" s="34">
        <f t="shared" si="8"/>
        <v>0.12096</v>
      </c>
      <c r="AH21" s="33" t="str">
        <f t="shared" si="1"/>
        <v>Muy Baja</v>
      </c>
      <c r="AI21" s="34">
        <f t="shared" si="5"/>
        <v>0.12096</v>
      </c>
      <c r="AJ21" s="35" t="str">
        <f t="shared" si="2"/>
        <v/>
      </c>
      <c r="AK21" s="32" t="str">
        <f t="shared" si="9"/>
        <v/>
      </c>
      <c r="AL21" s="36" t="str">
        <f t="shared" si="7"/>
        <v xml:space="preserve">Muy Baja - </v>
      </c>
      <c r="AM21" s="37" t="e">
        <f>+VLOOKUP(AL21,#REF!,2,)</f>
        <v>#REF!</v>
      </c>
      <c r="AN21" s="154"/>
      <c r="AO21" s="99"/>
      <c r="AP21" s="243"/>
      <c r="AQ21" s="244"/>
      <c r="AR21" s="245"/>
      <c r="AS21" s="102"/>
      <c r="AT21" s="103">
        <v>46156</v>
      </c>
      <c r="AU21" s="256" t="s">
        <v>208</v>
      </c>
      <c r="AV21" s="251"/>
      <c r="AW21" s="252"/>
      <c r="AX21" s="249"/>
      <c r="AY21" s="104"/>
      <c r="AZ21" s="137" t="s">
        <v>209</v>
      </c>
      <c r="BA21" s="248"/>
    </row>
    <row r="22" spans="1:53" ht="243.9" customHeight="1" x14ac:dyDescent="0.3">
      <c r="A22" s="163"/>
      <c r="B22" s="237"/>
      <c r="C22" s="165"/>
      <c r="D22" s="165"/>
      <c r="E22" s="165"/>
      <c r="F22" s="165"/>
      <c r="G22" s="163"/>
      <c r="H22" s="160"/>
      <c r="I22" s="157"/>
      <c r="J22" s="238"/>
      <c r="K22" s="239"/>
      <c r="L22" s="160"/>
      <c r="M22" s="157"/>
      <c r="N22" s="157"/>
      <c r="O22" s="240"/>
      <c r="P22" s="99"/>
      <c r="Q22" s="241">
        <v>6</v>
      </c>
      <c r="R22" s="127" t="s">
        <v>210</v>
      </c>
      <c r="S22" s="253" t="s">
        <v>211</v>
      </c>
      <c r="T22" s="254" t="s">
        <v>212</v>
      </c>
      <c r="U22" s="127" t="s">
        <v>213</v>
      </c>
      <c r="V22" s="127" t="s">
        <v>214</v>
      </c>
      <c r="W22" s="127" t="s">
        <v>215</v>
      </c>
      <c r="X22" s="257" t="str">
        <f t="shared" si="3"/>
        <v>Impacto</v>
      </c>
      <c r="Y22" s="258" t="s">
        <v>151</v>
      </c>
      <c r="Z22" s="258" t="s">
        <v>77</v>
      </c>
      <c r="AA22" s="31" t="str">
        <f t="shared" si="0"/>
        <v>25%</v>
      </c>
      <c r="AB22" s="242" t="s">
        <v>78</v>
      </c>
      <c r="AC22" s="242" t="s">
        <v>181</v>
      </c>
      <c r="AD22" s="258" t="s">
        <v>99</v>
      </c>
      <c r="AE22" s="242" t="s">
        <v>154</v>
      </c>
      <c r="AF22" s="242" t="str">
        <f t="shared" si="4"/>
        <v>A-GDO-FT-004 Acta de Visita /  A-GDH-FT-010 Registro de Asistencia Comité, Junta, Reunión</v>
      </c>
      <c r="AG22" s="34">
        <f t="shared" si="8"/>
        <v>0.12096</v>
      </c>
      <c r="AH22" s="33" t="str">
        <f t="shared" si="1"/>
        <v>Muy Baja</v>
      </c>
      <c r="AI22" s="34">
        <f t="shared" si="5"/>
        <v>0.12096</v>
      </c>
      <c r="AJ22" s="259" t="str">
        <f t="shared" si="2"/>
        <v>Moderado</v>
      </c>
      <c r="AK22" s="32">
        <v>0.56000000000000005</v>
      </c>
      <c r="AL22" s="36" t="str">
        <f t="shared" si="7"/>
        <v>Muy Baja - Moderado</v>
      </c>
      <c r="AM22" s="260" t="e">
        <f>+VLOOKUP(AL22,#REF!,2,)</f>
        <v>#REF!</v>
      </c>
      <c r="AN22" s="154"/>
      <c r="AO22" s="99"/>
      <c r="AP22" s="243"/>
      <c r="AQ22" s="244"/>
      <c r="AR22" s="245"/>
      <c r="AS22" s="102"/>
      <c r="AT22" s="103">
        <v>46156</v>
      </c>
      <c r="AU22" s="255" t="s">
        <v>199</v>
      </c>
      <c r="AV22" s="251"/>
      <c r="AW22" s="252"/>
      <c r="AX22" s="249"/>
      <c r="AY22" s="104"/>
      <c r="AZ22" s="137" t="s">
        <v>200</v>
      </c>
      <c r="BA22" s="248"/>
    </row>
    <row r="23" spans="1:53" ht="243.9" customHeight="1" x14ac:dyDescent="0.3">
      <c r="A23" s="163"/>
      <c r="B23" s="237"/>
      <c r="C23" s="165"/>
      <c r="D23" s="165"/>
      <c r="E23" s="165"/>
      <c r="F23" s="165"/>
      <c r="G23" s="163"/>
      <c r="H23" s="160"/>
      <c r="I23" s="157"/>
      <c r="J23" s="238"/>
      <c r="K23" s="239"/>
      <c r="L23" s="160"/>
      <c r="M23" s="157"/>
      <c r="N23" s="157"/>
      <c r="O23" s="240"/>
      <c r="P23" s="99"/>
      <c r="Q23" s="241">
        <v>7</v>
      </c>
      <c r="R23" s="127" t="s">
        <v>216</v>
      </c>
      <c r="S23" s="253" t="s">
        <v>217</v>
      </c>
      <c r="T23" s="254" t="s">
        <v>218</v>
      </c>
      <c r="U23" s="127" t="s">
        <v>219</v>
      </c>
      <c r="V23" s="127" t="s">
        <v>220</v>
      </c>
      <c r="W23" s="127" t="s">
        <v>221</v>
      </c>
      <c r="X23" s="30" t="str">
        <f t="shared" si="3"/>
        <v>Impacto</v>
      </c>
      <c r="Y23" s="6" t="s">
        <v>151</v>
      </c>
      <c r="Z23" s="6" t="s">
        <v>77</v>
      </c>
      <c r="AA23" s="31" t="str">
        <f t="shared" si="0"/>
        <v>25%</v>
      </c>
      <c r="AB23" s="8" t="s">
        <v>78</v>
      </c>
      <c r="AC23" s="242" t="s">
        <v>222</v>
      </c>
      <c r="AD23" s="6" t="s">
        <v>99</v>
      </c>
      <c r="AE23" s="8" t="s">
        <v>81</v>
      </c>
      <c r="AF23" s="8" t="str">
        <f t="shared" si="4"/>
        <v xml:space="preserve">Contratos de recolección de residuos en los cuales se establece la constitución de pólizas de amparo / Pólizas de amparo 
Correo electrónico (Cuando aplique)
</v>
      </c>
      <c r="AG23" s="34">
        <f t="shared" si="8"/>
        <v>0.12096</v>
      </c>
      <c r="AH23" s="33" t="str">
        <f t="shared" si="1"/>
        <v>Muy Baja</v>
      </c>
      <c r="AI23" s="34">
        <f t="shared" si="5"/>
        <v>0.12096</v>
      </c>
      <c r="AJ23" s="259" t="str">
        <f t="shared" si="2"/>
        <v>Moderado</v>
      </c>
      <c r="AK23" s="32">
        <v>0.42</v>
      </c>
      <c r="AL23" s="36" t="str">
        <f t="shared" si="7"/>
        <v>Muy Baja - Moderado</v>
      </c>
      <c r="AM23" s="260" t="e">
        <f>+VLOOKUP(AL23,#REF!,2,)</f>
        <v>#REF!</v>
      </c>
      <c r="AN23" s="154"/>
      <c r="AO23" s="99"/>
      <c r="AP23" s="243"/>
      <c r="AQ23" s="244"/>
      <c r="AR23" s="245"/>
      <c r="AS23" s="102"/>
      <c r="AT23" s="103">
        <v>46156</v>
      </c>
      <c r="AU23" s="255" t="s">
        <v>223</v>
      </c>
      <c r="AV23" s="261"/>
      <c r="AW23" s="252"/>
      <c r="AX23" s="249"/>
      <c r="AY23" s="104"/>
      <c r="AZ23" s="137" t="s">
        <v>224</v>
      </c>
      <c r="BA23" s="248"/>
    </row>
    <row r="24" spans="1:53" ht="93.75" customHeight="1" x14ac:dyDescent="0.3">
      <c r="B24" s="51"/>
      <c r="C24" s="52"/>
      <c r="D24" s="52"/>
      <c r="E24" s="52"/>
      <c r="F24" s="52"/>
      <c r="G24" s="51"/>
      <c r="H24" s="51"/>
      <c r="I24" s="53"/>
      <c r="J24" s="54"/>
      <c r="K24" s="55"/>
      <c r="L24" s="51"/>
      <c r="M24" s="53"/>
      <c r="N24" s="78"/>
      <c r="O24" s="81"/>
      <c r="P24" s="2"/>
      <c r="Q24" s="82"/>
      <c r="R24" s="22"/>
      <c r="S24" s="22"/>
      <c r="T24" s="22"/>
      <c r="U24" s="22"/>
      <c r="V24" s="22"/>
      <c r="W24" s="22"/>
      <c r="X24" s="82"/>
      <c r="Y24" s="83"/>
      <c r="Z24" s="83"/>
      <c r="AA24" s="84"/>
      <c r="AB24" s="85"/>
      <c r="AC24" s="86"/>
      <c r="AD24" s="83"/>
      <c r="AE24" s="85"/>
      <c r="AF24" s="85"/>
      <c r="AG24" s="87"/>
      <c r="AH24" s="83"/>
      <c r="AI24" s="88"/>
      <c r="AJ24" s="89"/>
      <c r="AK24" s="87"/>
      <c r="AL24" s="90"/>
      <c r="AM24" s="91"/>
      <c r="AN24" s="92"/>
      <c r="AO24" s="2"/>
      <c r="AP24" s="74"/>
      <c r="AQ24" s="74"/>
      <c r="AR24" s="74"/>
      <c r="AT24" s="45"/>
      <c r="AU24" s="46"/>
      <c r="AV24" s="47"/>
      <c r="AW24" s="48"/>
      <c r="AX24" s="49"/>
      <c r="AY24" s="27"/>
      <c r="AZ24" s="262"/>
      <c r="BA24" s="50"/>
    </row>
    <row r="25" spans="1:53" ht="20.399999999999999" x14ac:dyDescent="0.3">
      <c r="A25" s="152" t="s">
        <v>103</v>
      </c>
      <c r="B25" s="152"/>
      <c r="C25" s="152"/>
      <c r="D25" s="152"/>
      <c r="E25" s="152"/>
      <c r="F25" s="152"/>
      <c r="G25" s="152"/>
      <c r="H25" s="152"/>
      <c r="P25" s="2"/>
      <c r="BA25" s="39" t="s">
        <v>104</v>
      </c>
    </row>
    <row r="26" spans="1:53" ht="15.6" x14ac:dyDescent="0.3">
      <c r="P26" s="2"/>
    </row>
    <row r="27" spans="1:53" ht="15.6" x14ac:dyDescent="0.3">
      <c r="P27" s="2"/>
    </row>
    <row r="28" spans="1:53" ht="15.6" x14ac:dyDescent="0.3">
      <c r="P28" s="2"/>
    </row>
    <row r="29" spans="1:53" ht="15.6" x14ac:dyDescent="0.3">
      <c r="P29" s="2"/>
    </row>
    <row r="30" spans="1:53" ht="15.6" x14ac:dyDescent="0.3">
      <c r="P30" s="2"/>
    </row>
    <row r="31" spans="1:53" ht="15.6" x14ac:dyDescent="0.3">
      <c r="P31" s="2"/>
    </row>
    <row r="32" spans="1:53" ht="15.6" x14ac:dyDescent="0.3">
      <c r="P32" s="2"/>
    </row>
    <row r="33" spans="16:16" ht="15.6" x14ac:dyDescent="0.3">
      <c r="P33" s="2"/>
    </row>
  </sheetData>
  <mergeCells count="51">
    <mergeCell ref="AW17:AW23"/>
    <mergeCell ref="AX17:AX23"/>
    <mergeCell ref="BA17:BA23"/>
    <mergeCell ref="A25:H25"/>
    <mergeCell ref="O17:O23"/>
    <mergeCell ref="AN17:AN23"/>
    <mergeCell ref="AP17:AP23"/>
    <mergeCell ref="AQ17:AQ23"/>
    <mergeCell ref="AR17:AR23"/>
    <mergeCell ref="AV17:AV23"/>
    <mergeCell ref="I17:I23"/>
    <mergeCell ref="J17:J23"/>
    <mergeCell ref="K17:K23"/>
    <mergeCell ref="L17:L23"/>
    <mergeCell ref="M17:M23"/>
    <mergeCell ref="N17:N23"/>
    <mergeCell ref="AB16:AC16"/>
    <mergeCell ref="AE16:AF16"/>
    <mergeCell ref="A17:A23"/>
    <mergeCell ref="B17:B23"/>
    <mergeCell ref="C17:C23"/>
    <mergeCell ref="D17:D23"/>
    <mergeCell ref="E17:E23"/>
    <mergeCell ref="F17:F23"/>
    <mergeCell ref="G17:G23"/>
    <mergeCell ref="H17:H23"/>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24">
    <cfRule type="cellIs" dxfId="423" priority="20" operator="equal">
      <formula>"Muy Alta"</formula>
    </cfRule>
    <cfRule type="cellIs" dxfId="422" priority="21" operator="equal">
      <formula>"Alta"</formula>
    </cfRule>
    <cfRule type="cellIs" dxfId="421" priority="22" operator="equal">
      <formula>"Media"</formula>
    </cfRule>
    <cfRule type="cellIs" dxfId="420" priority="23" operator="equal">
      <formula>"Muy Baja"</formula>
    </cfRule>
    <cfRule type="cellIs" dxfId="419" priority="24" operator="equal">
      <formula>"Baja"</formula>
    </cfRule>
  </conditionalFormatting>
  <conditionalFormatting sqref="L17:L24">
    <cfRule type="cellIs" dxfId="418" priority="15" operator="equal">
      <formula>"Leve"</formula>
    </cfRule>
    <cfRule type="cellIs" dxfId="417" priority="16" operator="equal">
      <formula>"Catastrófico"</formula>
    </cfRule>
    <cfRule type="cellIs" dxfId="416" priority="17" operator="equal">
      <formula>"Mayor"</formula>
    </cfRule>
    <cfRule type="cellIs" dxfId="415" priority="18" operator="equal">
      <formula>"Moderado"</formula>
    </cfRule>
    <cfRule type="cellIs" dxfId="414" priority="19" operator="equal">
      <formula>"Menor"</formula>
    </cfRule>
  </conditionalFormatting>
  <conditionalFormatting sqref="O17:O24 AM17:AM24">
    <cfRule type="cellIs" dxfId="413" priority="11" operator="equal">
      <formula>"EXTREMO"</formula>
    </cfRule>
    <cfRule type="cellIs" dxfId="412" priority="12" operator="equal">
      <formula>"ALTO"</formula>
    </cfRule>
    <cfRule type="cellIs" dxfId="411" priority="13" operator="equal">
      <formula>"BAJO"</formula>
    </cfRule>
    <cfRule type="cellIs" dxfId="410" priority="14" operator="equal">
      <formula>"MODERADO"</formula>
    </cfRule>
  </conditionalFormatting>
  <conditionalFormatting sqref="AH17:AH24">
    <cfRule type="cellIs" dxfId="409" priority="6" operator="equal">
      <formula>"Muy Baja"</formula>
    </cfRule>
    <cfRule type="cellIs" dxfId="408" priority="7" operator="equal">
      <formula>"Baja"</formula>
    </cfRule>
    <cfRule type="cellIs" dxfId="407" priority="8" operator="equal">
      <formula>"Media"</formula>
    </cfRule>
    <cfRule type="cellIs" dxfId="406" priority="9" operator="equal">
      <formula>"Muy Alta"</formula>
    </cfRule>
    <cfRule type="cellIs" dxfId="405" priority="10" operator="equal">
      <formula>"Alta"</formula>
    </cfRule>
  </conditionalFormatting>
  <conditionalFormatting sqref="AJ17:AJ24">
    <cfRule type="cellIs" dxfId="404" priority="1" operator="equal">
      <formula>"Catastrófico"</formula>
    </cfRule>
    <cfRule type="cellIs" dxfId="403" priority="2" operator="equal">
      <formula>"Mayor"</formula>
    </cfRule>
    <cfRule type="cellIs" dxfId="402" priority="3" operator="equal">
      <formula>"Moderado"</formula>
    </cfRule>
    <cfRule type="cellIs" dxfId="401" priority="4" operator="equal">
      <formula>"Menor"</formula>
    </cfRule>
    <cfRule type="cellIs" dxfId="400" priority="5" operator="equal">
      <formula>"Leve"</formula>
    </cfRule>
  </conditionalFormatting>
  <hyperlinks>
    <hyperlink ref="A14:O15" location="Instructivo!A1" display="IDENTIFICACIÓN DEL RIESGO" xr:uid="{093D5BC9-5DB0-4C48-835C-1B9E6E8CF48D}"/>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23A3A-F494-48E0-AFC6-D80C8F64355A}">
  <sheetPr>
    <tabColor theme="0"/>
    <pageSetUpPr fitToPage="1"/>
  </sheetPr>
  <dimension ref="A1:BA28"/>
  <sheetViews>
    <sheetView showGridLines="0" topLeftCell="AX18" zoomScale="80" zoomScaleNormal="80" workbookViewId="0">
      <selection activeCell="AV17" sqref="AV17:AV23"/>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 customWidth="1"/>
    <col min="9" max="9" width="9.44140625" customWidth="1"/>
    <col min="10" max="10" width="25.44140625" customWidth="1"/>
    <col min="11" max="11" width="32.88671875" customWidth="1"/>
    <col min="12" max="12" width="20"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23" width="46.6640625" style="1" customWidth="1"/>
    <col min="24" max="24" width="15.88671875" style="1" customWidth="1"/>
    <col min="25" max="27" width="10.33203125" style="1" customWidth="1"/>
    <col min="28" max="28" width="6" style="1" customWidth="1"/>
    <col min="29" max="29" width="13.6640625" style="1" customWidth="1"/>
    <col min="30" max="30" width="7.44140625" style="1" customWidth="1"/>
    <col min="31" max="31" width="5.6640625" style="1" customWidth="1"/>
    <col min="32" max="32" width="22.33203125"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44140625" style="4" customWidth="1"/>
    <col min="41" max="41" width="1" style="4" customWidth="1"/>
    <col min="42" max="42" width="26.88671875" style="4" customWidth="1"/>
    <col min="43" max="43" width="26.5546875" style="1" customWidth="1"/>
    <col min="44" max="44" width="20.88671875" style="1" customWidth="1"/>
    <col min="45" max="45" width="1" customWidth="1"/>
    <col min="46" max="46" width="18.33203125" customWidth="1"/>
    <col min="47" max="50" width="45" customWidth="1"/>
    <col min="51" max="51" width="1" customWidth="1"/>
    <col min="52" max="52" width="45" customWidth="1"/>
    <col min="53" max="53" width="74.664062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4</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399999999999999"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105</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45828</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29" t="s">
        <v>155</v>
      </c>
      <c r="E10" s="230"/>
      <c r="F10" s="230"/>
      <c r="G10" s="230"/>
      <c r="H10" s="230"/>
      <c r="I10" s="230"/>
      <c r="J10" s="230"/>
      <c r="K10" s="230"/>
      <c r="L10" s="230"/>
      <c r="M10" s="231"/>
      <c r="N10" s="21"/>
      <c r="AN10" s="1"/>
      <c r="AO10" s="1"/>
      <c r="AP10" s="1"/>
    </row>
    <row r="11" spans="1:53" s="3" customFormat="1" ht="75" customHeight="1" x14ac:dyDescent="0.3">
      <c r="A11" s="194" t="s">
        <v>11</v>
      </c>
      <c r="B11" s="194"/>
      <c r="C11" s="194"/>
      <c r="D11" s="233" t="s">
        <v>156</v>
      </c>
      <c r="E11" s="234"/>
      <c r="F11" s="234"/>
      <c r="G11" s="234"/>
      <c r="H11" s="234"/>
      <c r="I11" s="234"/>
      <c r="J11" s="234"/>
      <c r="K11" s="234"/>
      <c r="L11" s="234"/>
      <c r="M11" s="235"/>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94" t="s">
        <v>13</v>
      </c>
      <c r="B12" s="194"/>
      <c r="C12" s="194"/>
      <c r="D12" s="233" t="s">
        <v>157</v>
      </c>
      <c r="E12" s="234"/>
      <c r="F12" s="234"/>
      <c r="G12" s="234"/>
      <c r="H12" s="234"/>
      <c r="I12" s="234"/>
      <c r="J12" s="234"/>
      <c r="K12" s="234"/>
      <c r="L12" s="234"/>
      <c r="M12" s="235"/>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x14ac:dyDescent="0.3">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71" t="s">
        <v>15</v>
      </c>
      <c r="B14" s="171"/>
      <c r="C14" s="171"/>
      <c r="D14" s="171"/>
      <c r="E14" s="171"/>
      <c r="F14" s="171"/>
      <c r="G14" s="171"/>
      <c r="H14" s="171"/>
      <c r="I14" s="171"/>
      <c r="J14" s="171"/>
      <c r="K14" s="171"/>
      <c r="L14" s="171"/>
      <c r="M14" s="171"/>
      <c r="N14" s="171"/>
      <c r="O14" s="171"/>
      <c r="P14" s="99"/>
      <c r="Q14" s="227" t="s">
        <v>16</v>
      </c>
      <c r="R14" s="227"/>
      <c r="S14" s="227"/>
      <c r="T14" s="227"/>
      <c r="U14" s="227"/>
      <c r="V14" s="227"/>
      <c r="W14" s="227"/>
      <c r="X14" s="227"/>
      <c r="Y14" s="227"/>
      <c r="Z14" s="227"/>
      <c r="AA14" s="227"/>
      <c r="AB14" s="227"/>
      <c r="AC14" s="227"/>
      <c r="AD14" s="227"/>
      <c r="AE14" s="227"/>
      <c r="AF14" s="227"/>
      <c r="AG14" s="227"/>
      <c r="AH14" s="227"/>
      <c r="AI14" s="227"/>
      <c r="AJ14" s="227"/>
      <c r="AK14" s="227"/>
      <c r="AL14" s="227"/>
      <c r="AM14" s="227"/>
      <c r="AN14" s="227"/>
      <c r="AO14" s="99"/>
      <c r="AP14" s="194" t="s">
        <v>17</v>
      </c>
      <c r="AQ14" s="194"/>
      <c r="AR14" s="194"/>
      <c r="AS14" s="111"/>
      <c r="AT14" s="194" t="s">
        <v>18</v>
      </c>
      <c r="AU14" s="194"/>
      <c r="AV14" s="194"/>
      <c r="AW14" s="194"/>
      <c r="AX14" s="194"/>
      <c r="AY14" s="112"/>
      <c r="AZ14" s="194" t="s">
        <v>19</v>
      </c>
      <c r="BA14" s="194"/>
    </row>
    <row r="15" spans="1:53" x14ac:dyDescent="0.3">
      <c r="A15" s="171"/>
      <c r="B15" s="171"/>
      <c r="C15" s="171"/>
      <c r="D15" s="171"/>
      <c r="E15" s="171"/>
      <c r="F15" s="171"/>
      <c r="G15" s="171"/>
      <c r="H15" s="171"/>
      <c r="I15" s="171"/>
      <c r="J15" s="171"/>
      <c r="K15" s="171"/>
      <c r="L15" s="171"/>
      <c r="M15" s="171"/>
      <c r="N15" s="171"/>
      <c r="O15" s="171"/>
      <c r="P15" s="99"/>
      <c r="Q15" s="113"/>
      <c r="R15" s="113"/>
      <c r="S15" s="113"/>
      <c r="T15" s="113"/>
      <c r="U15" s="113"/>
      <c r="V15" s="113"/>
      <c r="W15" s="113"/>
      <c r="X15" s="113"/>
      <c r="Y15" s="227" t="s">
        <v>20</v>
      </c>
      <c r="Z15" s="227"/>
      <c r="AA15" s="227"/>
      <c r="AB15" s="227" t="s">
        <v>21</v>
      </c>
      <c r="AC15" s="227"/>
      <c r="AD15" s="227"/>
      <c r="AE15" s="227"/>
      <c r="AF15" s="227"/>
      <c r="AG15" s="228"/>
      <c r="AH15" s="228"/>
      <c r="AI15" s="228"/>
      <c r="AJ15" s="228"/>
      <c r="AK15" s="228"/>
      <c r="AL15" s="228"/>
      <c r="AM15" s="228"/>
      <c r="AN15" s="228"/>
      <c r="AO15" s="99"/>
      <c r="AP15" s="194"/>
      <c r="AQ15" s="194"/>
      <c r="AR15" s="194"/>
      <c r="AS15" s="102"/>
      <c r="AT15" s="194"/>
      <c r="AU15" s="194"/>
      <c r="AV15" s="194"/>
      <c r="AW15" s="194"/>
      <c r="AX15" s="194"/>
      <c r="AY15" s="112"/>
      <c r="AZ15" s="194"/>
      <c r="BA15" s="194"/>
    </row>
    <row r="16" spans="1:53" s="5" customFormat="1" ht="166.5" customHeight="1" x14ac:dyDescent="0.3">
      <c r="A16" s="114" t="s">
        <v>22</v>
      </c>
      <c r="B16" s="115" t="s">
        <v>23</v>
      </c>
      <c r="C16" s="116" t="s">
        <v>24</v>
      </c>
      <c r="D16" s="116" t="s">
        <v>25</v>
      </c>
      <c r="E16" s="117" t="s">
        <v>26</v>
      </c>
      <c r="F16" s="118" t="s">
        <v>27</v>
      </c>
      <c r="G16" s="119" t="s">
        <v>28</v>
      </c>
      <c r="H16" s="117" t="s">
        <v>29</v>
      </c>
      <c r="I16" s="116" t="s">
        <v>30</v>
      </c>
      <c r="J16" s="116" t="s">
        <v>31</v>
      </c>
      <c r="K16" s="117" t="s">
        <v>32</v>
      </c>
      <c r="L16" s="117" t="s">
        <v>33</v>
      </c>
      <c r="M16" s="116" t="s">
        <v>30</v>
      </c>
      <c r="N16" s="116" t="s">
        <v>34</v>
      </c>
      <c r="O16" s="120" t="s">
        <v>35</v>
      </c>
      <c r="P16" s="99"/>
      <c r="Q16" s="121" t="s">
        <v>36</v>
      </c>
      <c r="R16" s="38" t="s">
        <v>37</v>
      </c>
      <c r="S16" s="38" t="s">
        <v>38</v>
      </c>
      <c r="T16" s="38" t="s">
        <v>39</v>
      </c>
      <c r="U16" s="38" t="s">
        <v>40</v>
      </c>
      <c r="V16" s="38" t="s">
        <v>41</v>
      </c>
      <c r="W16" s="38" t="s">
        <v>42</v>
      </c>
      <c r="X16" s="73" t="s">
        <v>43</v>
      </c>
      <c r="Y16" s="121" t="s">
        <v>44</v>
      </c>
      <c r="Z16" s="121" t="s">
        <v>45</v>
      </c>
      <c r="AA16" s="121" t="s">
        <v>46</v>
      </c>
      <c r="AB16" s="225" t="s">
        <v>47</v>
      </c>
      <c r="AC16" s="226"/>
      <c r="AD16" s="121" t="s">
        <v>48</v>
      </c>
      <c r="AE16" s="225" t="s">
        <v>49</v>
      </c>
      <c r="AF16" s="226"/>
      <c r="AG16" s="120" t="s">
        <v>50</v>
      </c>
      <c r="AH16" s="120" t="s">
        <v>51</v>
      </c>
      <c r="AI16" s="120" t="s">
        <v>30</v>
      </c>
      <c r="AJ16" s="120" t="s">
        <v>52</v>
      </c>
      <c r="AK16" s="120" t="s">
        <v>30</v>
      </c>
      <c r="AL16" s="120" t="s">
        <v>34</v>
      </c>
      <c r="AM16" s="120" t="s">
        <v>53</v>
      </c>
      <c r="AN16" s="120" t="s">
        <v>54</v>
      </c>
      <c r="AO16" s="99"/>
      <c r="AP16" s="122" t="s">
        <v>55</v>
      </c>
      <c r="AQ16" s="122" t="s">
        <v>56</v>
      </c>
      <c r="AR16" s="38" t="s">
        <v>57</v>
      </c>
      <c r="AS16" s="123"/>
      <c r="AT16" s="124" t="s">
        <v>58</v>
      </c>
      <c r="AU16" s="124" t="s">
        <v>59</v>
      </c>
      <c r="AV16" s="124" t="s">
        <v>60</v>
      </c>
      <c r="AW16" s="124" t="s">
        <v>61</v>
      </c>
      <c r="AX16" s="124" t="s">
        <v>62</v>
      </c>
      <c r="AY16" s="104"/>
      <c r="AZ16" s="124" t="s">
        <v>63</v>
      </c>
      <c r="BA16" s="124" t="s">
        <v>64</v>
      </c>
    </row>
    <row r="17" spans="1:53" ht="267.89999999999998" customHeight="1" x14ac:dyDescent="0.3">
      <c r="A17" s="163">
        <v>2</v>
      </c>
      <c r="B17" s="237" t="s">
        <v>106</v>
      </c>
      <c r="C17" s="165" t="s">
        <v>158</v>
      </c>
      <c r="D17" s="165" t="s">
        <v>225</v>
      </c>
      <c r="E17" s="165" t="s">
        <v>226</v>
      </c>
      <c r="F17" s="165"/>
      <c r="G17" s="163">
        <v>11</v>
      </c>
      <c r="H17" s="160" t="str">
        <f>IF(G17&lt;=0,"",IF(G17&lt;=2,"Muy Baja",IF(G17&lt;=24,"Baja",IF(G17&lt;=500,"Media",IF(G17&lt;=5000,"Alta","Muy Alta")))))</f>
        <v>Baja</v>
      </c>
      <c r="I17" s="157">
        <f>IF(H17="","",IF(H17="Muy Baja",0.2,IF(H17="Baja",0.4,IF(H17="Media",0.6,IF(H17="Alta",0.8,IF(H17="Muy Alta",1,))))))</f>
        <v>0.4</v>
      </c>
      <c r="J17" s="238" t="s">
        <v>148</v>
      </c>
      <c r="K17" s="239" t="str">
        <f>+J17</f>
        <v xml:space="preserve">Afectación mayor a 3000 SMLMV </v>
      </c>
      <c r="L17" s="160" t="e">
        <f>+VLOOKUP(K17,#REF!,2,FALSE)</f>
        <v>#REF!</v>
      </c>
      <c r="M17" s="157" t="e">
        <f>IF(L17="","",IF(L17="Leve",0.2,IF(L17="Menor",0.4,IF(L17="Moderado",0.6,IF(L17="Mayor",0.8,IF(L17="Catastrófico",1,))))))</f>
        <v>#REF!</v>
      </c>
      <c r="N17" s="157" t="e">
        <f>+CONCATENATE(H17, " - ", L17)</f>
        <v>#REF!</v>
      </c>
      <c r="O17" s="240" t="e">
        <f>+VLOOKUP(N17,#REF!,2,)</f>
        <v>#REF!</v>
      </c>
      <c r="P17" s="99"/>
      <c r="Q17" s="241">
        <v>1</v>
      </c>
      <c r="R17" s="263" t="s">
        <v>227</v>
      </c>
      <c r="S17" s="263" t="s">
        <v>228</v>
      </c>
      <c r="T17" s="264" t="s">
        <v>229</v>
      </c>
      <c r="U17" s="263" t="s">
        <v>230</v>
      </c>
      <c r="V17" s="263" t="s">
        <v>231</v>
      </c>
      <c r="W17" s="263" t="s">
        <v>232</v>
      </c>
      <c r="X17" s="30" t="str">
        <f>IF(OR(Y17="Preventivo",Y17="Detectivo"),"Probabilidad",IF(Y17="Correctivo","Impacto",""))</f>
        <v>Probabilidad</v>
      </c>
      <c r="Y17" s="6" t="s">
        <v>76</v>
      </c>
      <c r="Z17" s="6" t="s">
        <v>77</v>
      </c>
      <c r="AA17" s="31" t="str">
        <f t="shared" ref="AA17:AA18" si="0">IF(AND(Y17="Preventivo",Z17="Automático"),"50%",IF(AND(Y17="Preventivo",Z17="Manual"),"40%",IF(AND(Y17="Detectivo",Z17="Automático"),"40%",IF(AND(Y17="Detectivo",Z17="Manual"),"30%",IF(AND(Y17="Correctivo",Z17="Automático"),"35%",IF(AND(Y17="Correctivo",Z17="Manual"),"25%",""))))))</f>
        <v>40%</v>
      </c>
      <c r="AB17" s="8" t="s">
        <v>78</v>
      </c>
      <c r="AC17" s="242" t="s">
        <v>233</v>
      </c>
      <c r="AD17" s="6" t="s">
        <v>99</v>
      </c>
      <c r="AE17" s="8" t="s">
        <v>81</v>
      </c>
      <c r="AF17" s="8" t="str">
        <f>+W17</f>
        <v>Reporte de la Mesa de Ayuda con la solicitud de recolección de residuos, limpieza de trampas de grasa y limpieza de pozos sépticos
Acta de visita ( Cuando aplique)</v>
      </c>
      <c r="AG17" s="32">
        <f>IFERROR(IF(X17="Probabilidad",(I17-(+I17*AA17)),IF(X17="Impacto",I17,"")),"")</f>
        <v>0.24</v>
      </c>
      <c r="AH17" s="33" t="str">
        <f t="shared" ref="AH17:AH18" si="1">IFERROR(IF(AG17="","",IF(AG17&lt;=0.2,"Muy Baja",IF(AG17&lt;=0.4,"Baja",IF(AG17&lt;=0.6,"Media",IF(AG17&lt;=0.8,"Alta","Muy Alta"))))),"")</f>
        <v>Baja</v>
      </c>
      <c r="AI17" s="34">
        <f>I17-(AA17*I17)</f>
        <v>0.24</v>
      </c>
      <c r="AJ17" s="35" t="str">
        <f t="shared" ref="AJ17:AJ18" si="2">IFERROR(IF(AK17="","",IF(AK17&lt;=0.2,"Leve",IF(AK17&lt;=0.4,"Menor",IF(AK17&lt;=0.6,"Moderado",IF(AK17&lt;=0.8,"Mayor","Catastrófico"))))),"")</f>
        <v/>
      </c>
      <c r="AK17" s="32" t="str">
        <f>IFERROR(IF(X17="Impacto",(M17-(+M17*AA17)),IF(X17="Probabilidad",M17,"")),"")</f>
        <v/>
      </c>
      <c r="AL17" s="36" t="str">
        <f>+CONCATENATE(AH17, " - ", AJ17)</f>
        <v xml:space="preserve">Baja - </v>
      </c>
      <c r="AM17" s="37" t="e">
        <f>+VLOOKUP(AL17,#REF!,2,)</f>
        <v>#REF!</v>
      </c>
      <c r="AN17" s="265" t="s">
        <v>82</v>
      </c>
      <c r="AO17" s="99"/>
      <c r="AP17" s="243" t="s">
        <v>234</v>
      </c>
      <c r="AQ17" s="244" t="s">
        <v>235</v>
      </c>
      <c r="AR17" s="245">
        <v>46386</v>
      </c>
      <c r="AS17" s="102"/>
      <c r="AT17" s="103">
        <v>45791</v>
      </c>
      <c r="AU17" s="246" t="s">
        <v>236</v>
      </c>
      <c r="AV17" s="266" t="s">
        <v>172</v>
      </c>
      <c r="AW17" s="267" t="s">
        <v>237</v>
      </c>
      <c r="AX17" s="266" t="s">
        <v>172</v>
      </c>
      <c r="AY17" s="104"/>
      <c r="AZ17" s="141" t="s">
        <v>238</v>
      </c>
      <c r="BA17" s="250" t="s">
        <v>239</v>
      </c>
    </row>
    <row r="18" spans="1:53" ht="409.5" customHeight="1" x14ac:dyDescent="0.3">
      <c r="A18" s="163"/>
      <c r="B18" s="237"/>
      <c r="C18" s="165"/>
      <c r="D18" s="165"/>
      <c r="E18" s="165"/>
      <c r="F18" s="165"/>
      <c r="G18" s="163"/>
      <c r="H18" s="160"/>
      <c r="I18" s="157"/>
      <c r="J18" s="238"/>
      <c r="K18" s="239"/>
      <c r="L18" s="160"/>
      <c r="M18" s="157"/>
      <c r="N18" s="157"/>
      <c r="O18" s="240"/>
      <c r="P18" s="99"/>
      <c r="Q18" s="241">
        <v>2</v>
      </c>
      <c r="R18" s="263" t="s">
        <v>240</v>
      </c>
      <c r="S18" s="263" t="s">
        <v>241</v>
      </c>
      <c r="T18" s="263" t="s">
        <v>242</v>
      </c>
      <c r="U18" s="263" t="s">
        <v>243</v>
      </c>
      <c r="V18" s="263" t="s">
        <v>244</v>
      </c>
      <c r="W18" s="263" t="s">
        <v>245</v>
      </c>
      <c r="X18" s="30" t="str">
        <f t="shared" ref="X18" si="3">IF(OR(Y18="Preventivo",Y18="Detectivo"),"Probabilidad",IF(Y18="Correctivo","Impacto",""))</f>
        <v>Probabilidad</v>
      </c>
      <c r="Y18" s="6" t="s">
        <v>98</v>
      </c>
      <c r="Z18" s="6" t="s">
        <v>77</v>
      </c>
      <c r="AA18" s="31" t="str">
        <f t="shared" si="0"/>
        <v>30%</v>
      </c>
      <c r="AB18" s="8" t="s">
        <v>78</v>
      </c>
      <c r="AC18" s="242" t="s">
        <v>246</v>
      </c>
      <c r="AD18" s="6" t="s">
        <v>99</v>
      </c>
      <c r="AE18" s="8" t="s">
        <v>81</v>
      </c>
      <c r="AF18" s="8" t="s">
        <v>247</v>
      </c>
      <c r="AG18" s="34">
        <f>IFERROR(IF(AND(X17="Probabilidad",X18="Probabilidad"),(AI17-(+AI17*AA18)),IF(X18="Probabilidad",($I$17-(+$I$17*AA18)),IF(X18="Impacto",AI17,""))),"")</f>
        <v>0.16799999999999998</v>
      </c>
      <c r="AH18" s="33" t="str">
        <f t="shared" si="1"/>
        <v>Muy Baja</v>
      </c>
      <c r="AI18" s="34">
        <f t="shared" ref="AI18" si="4">+AG18</f>
        <v>0.16799999999999998</v>
      </c>
      <c r="AJ18" s="35" t="str">
        <f t="shared" si="2"/>
        <v/>
      </c>
      <c r="AK18" s="32" t="str">
        <f t="shared" ref="AK18" si="5">IFERROR(IF(AND(X17="Impacto",X17="Impacto"),(AK17-(+AK17*AA18)),IF(X18="Impacto",($M$17-(+$M$17*AA18)),IF(X18="Probabilidad",AK17,""))),"")</f>
        <v/>
      </c>
      <c r="AL18" s="36" t="str">
        <f t="shared" ref="AL18" si="6">+CONCATENATE(AH18, " - ", AJ18)</f>
        <v xml:space="preserve">Muy Baja - </v>
      </c>
      <c r="AM18" s="37" t="e">
        <f>+VLOOKUP(AL18,#REF!,2,)</f>
        <v>#REF!</v>
      </c>
      <c r="AN18" s="268"/>
      <c r="AO18" s="99"/>
      <c r="AP18" s="243"/>
      <c r="AQ18" s="244"/>
      <c r="AR18" s="245"/>
      <c r="AS18" s="102"/>
      <c r="AT18" s="103">
        <v>45791</v>
      </c>
      <c r="AU18" s="246" t="s">
        <v>248</v>
      </c>
      <c r="AV18" s="269"/>
      <c r="AW18" s="270"/>
      <c r="AX18" s="269"/>
      <c r="AY18" s="104"/>
      <c r="AZ18" s="141" t="s">
        <v>249</v>
      </c>
      <c r="BA18" s="248"/>
    </row>
    <row r="19" spans="1:53" ht="93.75" customHeight="1" x14ac:dyDescent="0.3">
      <c r="B19" s="76"/>
      <c r="C19" s="77"/>
      <c r="D19" s="77"/>
      <c r="E19" s="77"/>
      <c r="F19" s="77"/>
      <c r="G19" s="76"/>
      <c r="H19" s="76"/>
      <c r="I19" s="78"/>
      <c r="J19" s="79"/>
      <c r="K19" s="80"/>
      <c r="L19" s="76"/>
      <c r="M19" s="78"/>
      <c r="N19" s="78"/>
      <c r="O19" s="81"/>
      <c r="P19" s="2"/>
      <c r="Q19" s="82"/>
      <c r="R19" s="22"/>
      <c r="S19" s="22"/>
      <c r="T19" s="22"/>
      <c r="U19" s="22"/>
      <c r="V19" s="22"/>
      <c r="W19" s="22"/>
      <c r="X19" s="82"/>
      <c r="Y19" s="83"/>
      <c r="Z19" s="83"/>
      <c r="AA19" s="84"/>
      <c r="AB19" s="85"/>
      <c r="AC19" s="86"/>
      <c r="AD19" s="83"/>
      <c r="AE19" s="85"/>
      <c r="AF19" s="85"/>
      <c r="AG19" s="87"/>
      <c r="AH19" s="83"/>
      <c r="AI19" s="88"/>
      <c r="AJ19" s="89"/>
      <c r="AK19" s="87"/>
      <c r="AL19" s="90"/>
      <c r="AM19" s="91"/>
      <c r="AN19" s="92"/>
      <c r="AO19" s="2"/>
      <c r="AP19" s="74"/>
      <c r="AQ19" s="74"/>
      <c r="AR19" s="74"/>
      <c r="AT19" s="45"/>
      <c r="AU19" s="46"/>
      <c r="AV19" s="47"/>
      <c r="AW19" s="48"/>
      <c r="AX19" s="49"/>
      <c r="AY19" s="27"/>
      <c r="AZ19" s="47"/>
      <c r="BA19" s="50"/>
    </row>
    <row r="20" spans="1:53" ht="20.399999999999999" customHeight="1" x14ac:dyDescent="0.3">
      <c r="A20" s="152" t="s">
        <v>103</v>
      </c>
      <c r="B20" s="152"/>
      <c r="C20" s="152"/>
      <c r="D20" s="152"/>
      <c r="E20" s="152"/>
      <c r="F20" s="152"/>
      <c r="G20" s="152"/>
      <c r="H20" s="152"/>
      <c r="P20" s="2"/>
      <c r="BA20" s="39" t="s">
        <v>104</v>
      </c>
    </row>
    <row r="21" spans="1:53" x14ac:dyDescent="0.3">
      <c r="P21" s="2"/>
    </row>
    <row r="22" spans="1:53" x14ac:dyDescent="0.3">
      <c r="P22" s="2"/>
    </row>
    <row r="23" spans="1:53" x14ac:dyDescent="0.3">
      <c r="P23" s="2"/>
    </row>
    <row r="24" spans="1:53" x14ac:dyDescent="0.3">
      <c r="P24" s="2"/>
    </row>
    <row r="25" spans="1:53" x14ac:dyDescent="0.3">
      <c r="P25" s="2"/>
    </row>
    <row r="26" spans="1:53" x14ac:dyDescent="0.3">
      <c r="P26" s="2"/>
    </row>
    <row r="27" spans="1:53" x14ac:dyDescent="0.3">
      <c r="P27" s="2"/>
    </row>
    <row r="28" spans="1:53" s="1" customFormat="1" x14ac:dyDescent="0.3">
      <c r="A28"/>
      <c r="B28"/>
      <c r="C28"/>
      <c r="D28"/>
      <c r="E28"/>
      <c r="F28"/>
      <c r="G28"/>
      <c r="H28"/>
      <c r="I28"/>
      <c r="J28"/>
      <c r="K28"/>
      <c r="P28" s="2"/>
      <c r="AN28" s="4"/>
      <c r="AO28" s="4"/>
      <c r="AP28" s="4"/>
      <c r="AS28"/>
      <c r="AT28"/>
      <c r="AU28"/>
      <c r="AV28"/>
      <c r="AW28"/>
      <c r="AX28"/>
      <c r="AY28"/>
      <c r="AZ28"/>
      <c r="BA28"/>
    </row>
  </sheetData>
  <mergeCells count="51">
    <mergeCell ref="AW17:AW18"/>
    <mergeCell ref="AX17:AX18"/>
    <mergeCell ref="BA17:BA18"/>
    <mergeCell ref="A20:H20"/>
    <mergeCell ref="O17:O18"/>
    <mergeCell ref="AN17:AN18"/>
    <mergeCell ref="AP17:AP18"/>
    <mergeCell ref="AQ17:AQ18"/>
    <mergeCell ref="AR17:AR18"/>
    <mergeCell ref="AV17:AV18"/>
    <mergeCell ref="I17:I18"/>
    <mergeCell ref="J17:J18"/>
    <mergeCell ref="K17:K18"/>
    <mergeCell ref="L17:L18"/>
    <mergeCell ref="M17:M18"/>
    <mergeCell ref="N17:N18"/>
    <mergeCell ref="AB16:AC16"/>
    <mergeCell ref="AE16:AF16"/>
    <mergeCell ref="A17:A18"/>
    <mergeCell ref="B17:B18"/>
    <mergeCell ref="C17:C18"/>
    <mergeCell ref="D17:D18"/>
    <mergeCell ref="E17:E18"/>
    <mergeCell ref="F17:F18"/>
    <mergeCell ref="G17:G18"/>
    <mergeCell ref="H17:H18"/>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19">
    <cfRule type="cellIs" dxfId="399" priority="24" operator="equal">
      <formula>"Muy Alta"</formula>
    </cfRule>
    <cfRule type="cellIs" dxfId="398" priority="25" operator="equal">
      <formula>"Alta"</formula>
    </cfRule>
    <cfRule type="cellIs" dxfId="397" priority="26" operator="equal">
      <formula>"Media"</formula>
    </cfRule>
    <cfRule type="cellIs" dxfId="396" priority="27" operator="equal">
      <formula>"Muy Baja"</formula>
    </cfRule>
    <cfRule type="cellIs" dxfId="395" priority="28" operator="equal">
      <formula>"Baja"</formula>
    </cfRule>
  </conditionalFormatting>
  <conditionalFormatting sqref="L17:L19">
    <cfRule type="cellIs" dxfId="394" priority="19" operator="equal">
      <formula>"Leve"</formula>
    </cfRule>
    <cfRule type="cellIs" dxfId="393" priority="20" operator="equal">
      <formula>"Catastrófico"</formula>
    </cfRule>
    <cfRule type="cellIs" dxfId="392" priority="21" operator="equal">
      <formula>"Mayor"</formula>
    </cfRule>
    <cfRule type="cellIs" dxfId="391" priority="22" operator="equal">
      <formula>"Moderado"</formula>
    </cfRule>
    <cfRule type="cellIs" dxfId="390" priority="23" operator="equal">
      <formula>"Menor"</formula>
    </cfRule>
  </conditionalFormatting>
  <conditionalFormatting sqref="O17:O19">
    <cfRule type="cellIs" dxfId="389" priority="15" operator="equal">
      <formula>"EXTREMO"</formula>
    </cfRule>
    <cfRule type="cellIs" dxfId="388" priority="16" operator="equal">
      <formula>"ALTO"</formula>
    </cfRule>
    <cfRule type="cellIs" dxfId="387" priority="17" operator="equal">
      <formula>"BAJO"</formula>
    </cfRule>
    <cfRule type="cellIs" dxfId="386" priority="18" operator="equal">
      <formula>"MODERADO"</formula>
    </cfRule>
  </conditionalFormatting>
  <conditionalFormatting sqref="AH17:AH19">
    <cfRule type="cellIs" dxfId="385" priority="6" operator="equal">
      <formula>"Muy Baja"</formula>
    </cfRule>
    <cfRule type="cellIs" dxfId="384" priority="7" operator="equal">
      <formula>"Baja"</formula>
    </cfRule>
    <cfRule type="cellIs" dxfId="383" priority="8" operator="equal">
      <formula>"Media"</formula>
    </cfRule>
    <cfRule type="cellIs" dxfId="382" priority="9" operator="equal">
      <formula>"Muy Alta"</formula>
    </cfRule>
    <cfRule type="cellIs" dxfId="381" priority="10" operator="equal">
      <formula>"Alta"</formula>
    </cfRule>
  </conditionalFormatting>
  <conditionalFormatting sqref="AJ17:AJ19">
    <cfRule type="cellIs" dxfId="380" priority="1" operator="equal">
      <formula>"Catastrófico"</formula>
    </cfRule>
    <cfRule type="cellIs" dxfId="379" priority="2" operator="equal">
      <formula>"Mayor"</formula>
    </cfRule>
    <cfRule type="cellIs" dxfId="378" priority="3" operator="equal">
      <formula>"Moderado"</formula>
    </cfRule>
    <cfRule type="cellIs" dxfId="377" priority="4" operator="equal">
      <formula>"Menor"</formula>
    </cfRule>
    <cfRule type="cellIs" dxfId="376" priority="5" operator="equal">
      <formula>"Leve"</formula>
    </cfRule>
  </conditionalFormatting>
  <conditionalFormatting sqref="AM17:AM19">
    <cfRule type="cellIs" dxfId="375" priority="11" operator="equal">
      <formula>"EXTREMO"</formula>
    </cfRule>
    <cfRule type="cellIs" dxfId="374" priority="12" operator="equal">
      <formula>"ALTO"</formula>
    </cfRule>
    <cfRule type="cellIs" dxfId="373" priority="13" operator="equal">
      <formula>"BAJO"</formula>
    </cfRule>
    <cfRule type="cellIs" dxfId="372" priority="14" operator="equal">
      <formula>"MODERADO"</formula>
    </cfRule>
  </conditionalFormatting>
  <hyperlinks>
    <hyperlink ref="A14:O15" location="Instructivo!A1" display="IDENTIFICACIÓN DEL RIESGO" xr:uid="{911171EE-683D-4D3C-B2E9-B4F17D693AFA}"/>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9CF2C-FEF2-4B3A-9888-15B6E9D344B5}">
  <sheetPr>
    <tabColor theme="0"/>
    <pageSetUpPr fitToPage="1"/>
  </sheetPr>
  <dimension ref="A1:BA30"/>
  <sheetViews>
    <sheetView showGridLines="0" topLeftCell="AZ16" zoomScale="70" zoomScaleNormal="70" workbookViewId="0">
      <selection activeCell="AV17" sqref="AV17:AV23"/>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 customWidth="1"/>
    <col min="9" max="9" width="9.44140625" customWidth="1"/>
    <col min="10" max="10" width="25.44140625" customWidth="1"/>
    <col min="11" max="11" width="32.88671875" customWidth="1"/>
    <col min="12" max="12" width="20"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23" width="46.6640625" style="1" customWidth="1"/>
    <col min="24" max="24" width="15.88671875" style="1" customWidth="1"/>
    <col min="25" max="27" width="10.33203125" style="1" customWidth="1"/>
    <col min="28" max="28" width="6" style="1" customWidth="1"/>
    <col min="29" max="29" width="13.6640625" style="1" customWidth="1"/>
    <col min="30" max="30" width="7.44140625" style="1" customWidth="1"/>
    <col min="31" max="31" width="5.6640625" style="1" customWidth="1"/>
    <col min="32" max="32" width="22.33203125"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44140625" style="4" customWidth="1"/>
    <col min="41" max="41" width="1" style="4" customWidth="1"/>
    <col min="42" max="42" width="26.88671875" style="4" customWidth="1"/>
    <col min="43" max="43" width="26.5546875" style="1" customWidth="1"/>
    <col min="44" max="44" width="20.88671875" style="1" customWidth="1"/>
    <col min="45" max="45" width="1" customWidth="1"/>
    <col min="46" max="46" width="18.33203125" customWidth="1"/>
    <col min="47" max="50" width="45" customWidth="1"/>
    <col min="51" max="51" width="1" customWidth="1"/>
    <col min="52" max="52" width="45" customWidth="1"/>
    <col min="53" max="53" width="69.10937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4</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399999999999999"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126</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45828</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29" t="s">
        <v>155</v>
      </c>
      <c r="E10" s="230"/>
      <c r="F10" s="230"/>
      <c r="G10" s="230"/>
      <c r="H10" s="230"/>
      <c r="I10" s="230"/>
      <c r="J10" s="230"/>
      <c r="K10" s="230"/>
      <c r="L10" s="230"/>
      <c r="M10" s="231"/>
      <c r="N10" s="21"/>
      <c r="AN10" s="1"/>
      <c r="AO10" s="1"/>
      <c r="AP10" s="1"/>
    </row>
    <row r="11" spans="1:53" s="3" customFormat="1" ht="75" customHeight="1" x14ac:dyDescent="0.3">
      <c r="A11" s="194" t="s">
        <v>11</v>
      </c>
      <c r="B11" s="194"/>
      <c r="C11" s="194"/>
      <c r="D11" s="233" t="s">
        <v>156</v>
      </c>
      <c r="E11" s="234"/>
      <c r="F11" s="234"/>
      <c r="G11" s="234"/>
      <c r="H11" s="234"/>
      <c r="I11" s="234"/>
      <c r="J11" s="234"/>
      <c r="K11" s="234"/>
      <c r="L11" s="234"/>
      <c r="M11" s="235"/>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94" t="s">
        <v>13</v>
      </c>
      <c r="B12" s="194"/>
      <c r="C12" s="194"/>
      <c r="D12" s="233" t="s">
        <v>157</v>
      </c>
      <c r="E12" s="234"/>
      <c r="F12" s="234"/>
      <c r="G12" s="234"/>
      <c r="H12" s="234"/>
      <c r="I12" s="234"/>
      <c r="J12" s="234"/>
      <c r="K12" s="234"/>
      <c r="L12" s="234"/>
      <c r="M12" s="235"/>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x14ac:dyDescent="0.3">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71" t="s">
        <v>15</v>
      </c>
      <c r="B14" s="171"/>
      <c r="C14" s="171"/>
      <c r="D14" s="171"/>
      <c r="E14" s="171"/>
      <c r="F14" s="171"/>
      <c r="G14" s="171"/>
      <c r="H14" s="171"/>
      <c r="I14" s="171"/>
      <c r="J14" s="171"/>
      <c r="K14" s="171"/>
      <c r="L14" s="171"/>
      <c r="M14" s="171"/>
      <c r="N14" s="171"/>
      <c r="O14" s="171"/>
      <c r="P14" s="99"/>
      <c r="Q14" s="227" t="s">
        <v>16</v>
      </c>
      <c r="R14" s="227"/>
      <c r="S14" s="227"/>
      <c r="T14" s="227"/>
      <c r="U14" s="227"/>
      <c r="V14" s="227"/>
      <c r="W14" s="227"/>
      <c r="X14" s="227"/>
      <c r="Y14" s="227"/>
      <c r="Z14" s="227"/>
      <c r="AA14" s="227"/>
      <c r="AB14" s="227"/>
      <c r="AC14" s="227"/>
      <c r="AD14" s="227"/>
      <c r="AE14" s="227"/>
      <c r="AF14" s="227"/>
      <c r="AG14" s="227"/>
      <c r="AH14" s="227"/>
      <c r="AI14" s="227"/>
      <c r="AJ14" s="227"/>
      <c r="AK14" s="227"/>
      <c r="AL14" s="227"/>
      <c r="AM14" s="227"/>
      <c r="AN14" s="227"/>
      <c r="AO14" s="99"/>
      <c r="AP14" s="194" t="s">
        <v>17</v>
      </c>
      <c r="AQ14" s="194"/>
      <c r="AR14" s="194"/>
      <c r="AS14" s="111"/>
      <c r="AT14" s="194" t="s">
        <v>18</v>
      </c>
      <c r="AU14" s="194"/>
      <c r="AV14" s="194"/>
      <c r="AW14" s="194"/>
      <c r="AX14" s="194"/>
      <c r="AY14" s="112"/>
      <c r="AZ14" s="194" t="s">
        <v>19</v>
      </c>
      <c r="BA14" s="194"/>
    </row>
    <row r="15" spans="1:53" x14ac:dyDescent="0.3">
      <c r="A15" s="171"/>
      <c r="B15" s="171"/>
      <c r="C15" s="171"/>
      <c r="D15" s="171"/>
      <c r="E15" s="171"/>
      <c r="F15" s="171"/>
      <c r="G15" s="171"/>
      <c r="H15" s="171"/>
      <c r="I15" s="171"/>
      <c r="J15" s="171"/>
      <c r="K15" s="171"/>
      <c r="L15" s="171"/>
      <c r="M15" s="171"/>
      <c r="N15" s="171"/>
      <c r="O15" s="171"/>
      <c r="P15" s="99"/>
      <c r="Q15" s="113"/>
      <c r="R15" s="113"/>
      <c r="S15" s="113"/>
      <c r="T15" s="113"/>
      <c r="U15" s="113"/>
      <c r="V15" s="113"/>
      <c r="W15" s="113"/>
      <c r="X15" s="113"/>
      <c r="Y15" s="227" t="s">
        <v>20</v>
      </c>
      <c r="Z15" s="227"/>
      <c r="AA15" s="227"/>
      <c r="AB15" s="227" t="s">
        <v>21</v>
      </c>
      <c r="AC15" s="227"/>
      <c r="AD15" s="227"/>
      <c r="AE15" s="227"/>
      <c r="AF15" s="227"/>
      <c r="AG15" s="228"/>
      <c r="AH15" s="228"/>
      <c r="AI15" s="228"/>
      <c r="AJ15" s="228"/>
      <c r="AK15" s="228"/>
      <c r="AL15" s="228"/>
      <c r="AM15" s="228"/>
      <c r="AN15" s="228"/>
      <c r="AO15" s="99"/>
      <c r="AP15" s="194"/>
      <c r="AQ15" s="194"/>
      <c r="AR15" s="194"/>
      <c r="AS15" s="102"/>
      <c r="AT15" s="194"/>
      <c r="AU15" s="194"/>
      <c r="AV15" s="194"/>
      <c r="AW15" s="194"/>
      <c r="AX15" s="194"/>
      <c r="AY15" s="112"/>
      <c r="AZ15" s="194"/>
      <c r="BA15" s="194"/>
    </row>
    <row r="16" spans="1:53" s="5" customFormat="1" ht="166.5" customHeight="1" x14ac:dyDescent="0.3">
      <c r="A16" s="114" t="s">
        <v>22</v>
      </c>
      <c r="B16" s="115" t="s">
        <v>23</v>
      </c>
      <c r="C16" s="116" t="s">
        <v>24</v>
      </c>
      <c r="D16" s="116" t="s">
        <v>25</v>
      </c>
      <c r="E16" s="117" t="s">
        <v>26</v>
      </c>
      <c r="F16" s="118" t="s">
        <v>27</v>
      </c>
      <c r="G16" s="119" t="s">
        <v>28</v>
      </c>
      <c r="H16" s="117" t="s">
        <v>29</v>
      </c>
      <c r="I16" s="116" t="s">
        <v>30</v>
      </c>
      <c r="J16" s="116" t="s">
        <v>31</v>
      </c>
      <c r="K16" s="117" t="s">
        <v>32</v>
      </c>
      <c r="L16" s="117" t="s">
        <v>33</v>
      </c>
      <c r="M16" s="116" t="s">
        <v>30</v>
      </c>
      <c r="N16" s="116" t="s">
        <v>34</v>
      </c>
      <c r="O16" s="120" t="s">
        <v>35</v>
      </c>
      <c r="P16" s="99"/>
      <c r="Q16" s="121" t="s">
        <v>36</v>
      </c>
      <c r="R16" s="38" t="s">
        <v>37</v>
      </c>
      <c r="S16" s="38" t="s">
        <v>38</v>
      </c>
      <c r="T16" s="38" t="s">
        <v>39</v>
      </c>
      <c r="U16" s="38" t="s">
        <v>40</v>
      </c>
      <c r="V16" s="38" t="s">
        <v>41</v>
      </c>
      <c r="W16" s="38" t="s">
        <v>42</v>
      </c>
      <c r="X16" s="73" t="s">
        <v>43</v>
      </c>
      <c r="Y16" s="121" t="s">
        <v>44</v>
      </c>
      <c r="Z16" s="121" t="s">
        <v>45</v>
      </c>
      <c r="AA16" s="121" t="s">
        <v>46</v>
      </c>
      <c r="AB16" s="225" t="s">
        <v>47</v>
      </c>
      <c r="AC16" s="226"/>
      <c r="AD16" s="121" t="s">
        <v>48</v>
      </c>
      <c r="AE16" s="225" t="s">
        <v>49</v>
      </c>
      <c r="AF16" s="226"/>
      <c r="AG16" s="120" t="s">
        <v>50</v>
      </c>
      <c r="AH16" s="120" t="s">
        <v>51</v>
      </c>
      <c r="AI16" s="120" t="s">
        <v>30</v>
      </c>
      <c r="AJ16" s="120" t="s">
        <v>52</v>
      </c>
      <c r="AK16" s="120" t="s">
        <v>30</v>
      </c>
      <c r="AL16" s="120" t="s">
        <v>34</v>
      </c>
      <c r="AM16" s="120" t="s">
        <v>53</v>
      </c>
      <c r="AN16" s="120" t="s">
        <v>54</v>
      </c>
      <c r="AO16" s="99"/>
      <c r="AP16" s="122" t="s">
        <v>55</v>
      </c>
      <c r="AQ16" s="122" t="s">
        <v>56</v>
      </c>
      <c r="AR16" s="38" t="s">
        <v>57</v>
      </c>
      <c r="AS16" s="123"/>
      <c r="AT16" s="124" t="s">
        <v>58</v>
      </c>
      <c r="AU16" s="124" t="s">
        <v>59</v>
      </c>
      <c r="AV16" s="124" t="s">
        <v>60</v>
      </c>
      <c r="AW16" s="124" t="s">
        <v>61</v>
      </c>
      <c r="AX16" s="124" t="s">
        <v>62</v>
      </c>
      <c r="AY16" s="104"/>
      <c r="AZ16" s="124" t="s">
        <v>63</v>
      </c>
      <c r="BA16" s="124" t="s">
        <v>64</v>
      </c>
    </row>
    <row r="17" spans="1:53" ht="267.89999999999998" customHeight="1" x14ac:dyDescent="0.3">
      <c r="A17" s="163">
        <v>3</v>
      </c>
      <c r="B17" s="237" t="s">
        <v>106</v>
      </c>
      <c r="C17" s="165" t="s">
        <v>158</v>
      </c>
      <c r="D17" s="165" t="s">
        <v>250</v>
      </c>
      <c r="E17" s="165" t="s">
        <v>251</v>
      </c>
      <c r="F17" s="165"/>
      <c r="G17" s="163">
        <v>9</v>
      </c>
      <c r="H17" s="160" t="str">
        <f>IF(G17&lt;=0,"",IF(G17&lt;=2,"Muy Baja",IF(G17&lt;=24,"Baja",IF(G17&lt;=500,"Media",IF(G17&lt;=5000,"Alta","Muy Alta")))))</f>
        <v>Baja</v>
      </c>
      <c r="I17" s="157">
        <f>IF(H17="","",IF(H17="Muy Baja",0.2,IF(H17="Baja",0.4,IF(H17="Media",0.6,IF(H17="Alta",0.8,IF(H17="Muy Alta",1,))))))</f>
        <v>0.4</v>
      </c>
      <c r="J17" s="238" t="s">
        <v>148</v>
      </c>
      <c r="K17" s="239" t="str">
        <f>+J17</f>
        <v xml:space="preserve">Afectación mayor a 3000 SMLMV </v>
      </c>
      <c r="L17" s="160" t="e">
        <f>+VLOOKUP(K17,#REF!,2,FALSE)</f>
        <v>#REF!</v>
      </c>
      <c r="M17" s="157" t="e">
        <f>IF(L17="","",IF(L17="Leve",0.2,IF(L17="Menor",0.4,IF(L17="Moderado",0.6,IF(L17="Mayor",0.8,IF(L17="Catastrófico",1,))))))</f>
        <v>#REF!</v>
      </c>
      <c r="N17" s="157" t="e">
        <f>+CONCATENATE(H17, " - ", L17)</f>
        <v>#REF!</v>
      </c>
      <c r="O17" s="240" t="e">
        <f>+VLOOKUP(N17,#REF!,2,)</f>
        <v>#REF!</v>
      </c>
      <c r="P17" s="99"/>
      <c r="Q17" s="241">
        <v>1</v>
      </c>
      <c r="R17" s="127" t="s">
        <v>252</v>
      </c>
      <c r="S17" s="127" t="s">
        <v>185</v>
      </c>
      <c r="T17" s="127" t="s">
        <v>253</v>
      </c>
      <c r="U17" s="127" t="s">
        <v>254</v>
      </c>
      <c r="V17" s="127" t="s">
        <v>255</v>
      </c>
      <c r="W17" s="127" t="s">
        <v>256</v>
      </c>
      <c r="X17" s="30" t="str">
        <f>IF(OR(Y17="Preventivo",Y17="Detectivo"),"Probabilidad",IF(Y17="Correctivo","Impacto",""))</f>
        <v>Probabilidad</v>
      </c>
      <c r="Y17" s="6" t="s">
        <v>76</v>
      </c>
      <c r="Z17" s="6" t="s">
        <v>77</v>
      </c>
      <c r="AA17" s="31" t="str">
        <f t="shared" ref="AA17:AA20" si="0">IF(AND(Y17="Preventivo",Z17="Automático"),"50%",IF(AND(Y17="Preventivo",Z17="Manual"),"40%",IF(AND(Y17="Detectivo",Z17="Automático"),"40%",IF(AND(Y17="Detectivo",Z17="Manual"),"30%",IF(AND(Y17="Correctivo",Z17="Automático"),"35%",IF(AND(Y17="Correctivo",Z17="Manual"),"25%",""))))))</f>
        <v>40%</v>
      </c>
      <c r="AB17" s="8" t="s">
        <v>78</v>
      </c>
      <c r="AC17" s="242" t="s">
        <v>257</v>
      </c>
      <c r="AD17" s="6" t="s">
        <v>99</v>
      </c>
      <c r="AE17" s="8" t="s">
        <v>81</v>
      </c>
      <c r="AF17" s="8" t="str">
        <f>+W17</f>
        <v>A-GOD-FT-004 ACTA /  A-GDH-FT-010 
REGISTRO DE ASISTENCIA COMITÉ, JUNTA, REUNION 
Correos electrónicos ( Cuando aplique)</v>
      </c>
      <c r="AG17" s="32">
        <f>IFERROR(IF(X17="Probabilidad",(I17-(+I17*AA17)),IF(X17="Impacto",I17,"")),"")</f>
        <v>0.24</v>
      </c>
      <c r="AH17" s="33" t="str">
        <f t="shared" ref="AH17:AH20" si="1">IFERROR(IF(AG17="","",IF(AG17&lt;=0.2,"Muy Baja",IF(AG17&lt;=0.4,"Baja",IF(AG17&lt;=0.6,"Media",IF(AG17&lt;=0.8,"Alta","Muy Alta"))))),"")</f>
        <v>Baja</v>
      </c>
      <c r="AI17" s="34">
        <f>I17-(AA17*I17)</f>
        <v>0.24</v>
      </c>
      <c r="AJ17" s="35" t="str">
        <f t="shared" ref="AJ17:AJ20" si="2">IFERROR(IF(AK17="","",IF(AK17&lt;=0.2,"Leve",IF(AK17&lt;=0.4,"Menor",IF(AK17&lt;=0.6,"Moderado",IF(AK17&lt;=0.8,"Mayor","Catastrófico"))))),"")</f>
        <v/>
      </c>
      <c r="AK17" s="32" t="str">
        <f>IFERROR(IF(X17="Impacto",(M17-(+M17*AA17)),IF(X17="Probabilidad",M17,"")),"")</f>
        <v/>
      </c>
      <c r="AL17" s="36" t="str">
        <f>+CONCATENATE(AH17, " - ", AJ17)</f>
        <v xml:space="preserve">Baja - </v>
      </c>
      <c r="AM17" s="37" t="e">
        <f>+VLOOKUP(AL17,#REF!,2,)</f>
        <v>#REF!</v>
      </c>
      <c r="AN17" s="154" t="s">
        <v>82</v>
      </c>
      <c r="AO17" s="99"/>
      <c r="AP17" s="271" t="s">
        <v>258</v>
      </c>
      <c r="AQ17" s="271" t="s">
        <v>235</v>
      </c>
      <c r="AR17" s="272">
        <v>46387</v>
      </c>
      <c r="AS17" s="102"/>
      <c r="AT17" s="103">
        <v>46156</v>
      </c>
      <c r="AU17" s="246" t="s">
        <v>259</v>
      </c>
      <c r="AV17" s="273" t="s">
        <v>237</v>
      </c>
      <c r="AW17" s="267" t="s">
        <v>172</v>
      </c>
      <c r="AX17" s="249" t="s">
        <v>172</v>
      </c>
      <c r="AY17" s="104"/>
      <c r="AZ17" s="255" t="s">
        <v>260</v>
      </c>
      <c r="BA17" s="250" t="s">
        <v>261</v>
      </c>
    </row>
    <row r="18" spans="1:53" ht="219" customHeight="1" x14ac:dyDescent="0.3">
      <c r="A18" s="163"/>
      <c r="B18" s="237"/>
      <c r="C18" s="165"/>
      <c r="D18" s="165"/>
      <c r="E18" s="165"/>
      <c r="F18" s="165"/>
      <c r="G18" s="163"/>
      <c r="H18" s="160"/>
      <c r="I18" s="157"/>
      <c r="J18" s="238"/>
      <c r="K18" s="239"/>
      <c r="L18" s="160"/>
      <c r="M18" s="157"/>
      <c r="N18" s="157"/>
      <c r="O18" s="240"/>
      <c r="P18" s="99"/>
      <c r="Q18" s="241">
        <v>2</v>
      </c>
      <c r="R18" s="127" t="s">
        <v>262</v>
      </c>
      <c r="S18" s="127" t="s">
        <v>263</v>
      </c>
      <c r="T18" s="127" t="s">
        <v>264</v>
      </c>
      <c r="U18" s="127" t="s">
        <v>265</v>
      </c>
      <c r="V18" s="127" t="s">
        <v>266</v>
      </c>
      <c r="W18" s="127" t="s">
        <v>267</v>
      </c>
      <c r="X18" s="30" t="str">
        <f t="shared" ref="X18:X20" si="3">IF(OR(Y18="Preventivo",Y18="Detectivo"),"Probabilidad",IF(Y18="Correctivo","Impacto",""))</f>
        <v>Probabilidad</v>
      </c>
      <c r="Y18" s="6" t="s">
        <v>76</v>
      </c>
      <c r="Z18" s="6" t="s">
        <v>77</v>
      </c>
      <c r="AA18" s="31" t="str">
        <f t="shared" si="0"/>
        <v>40%</v>
      </c>
      <c r="AB18" s="8" t="s">
        <v>78</v>
      </c>
      <c r="AC18" s="8" t="s">
        <v>268</v>
      </c>
      <c r="AD18" s="6" t="s">
        <v>99</v>
      </c>
      <c r="AE18" s="8" t="s">
        <v>81</v>
      </c>
      <c r="AF18" s="8" t="str">
        <f>+W18</f>
        <v>Oficios y/o constancias de radicación del trámite del permiso</v>
      </c>
      <c r="AG18" s="34">
        <f>IFERROR(IF(AND(X17="Probabilidad",X18="Probabilidad"),(AI17-(+AI17*AA18)),IF(X18="Probabilidad",($I$17-(+$I$17*AA18)),IF(X18="Impacto",AI17,""))),"")</f>
        <v>0.14399999999999999</v>
      </c>
      <c r="AH18" s="33" t="str">
        <f t="shared" si="1"/>
        <v>Muy Baja</v>
      </c>
      <c r="AI18" s="34">
        <f t="shared" ref="AI18:AI20" si="4">+AG18</f>
        <v>0.14399999999999999</v>
      </c>
      <c r="AJ18" s="35" t="str">
        <f t="shared" si="2"/>
        <v/>
      </c>
      <c r="AK18" s="32" t="str">
        <f t="shared" ref="AK18" si="5">IFERROR(IF(AND(X17="Impacto",X17="Impacto"),(AK17-(+AK17*AA18)),IF(X18="Impacto",($M$17-(+$M$17*AA18)),IF(X18="Probabilidad",AK17,""))),"")</f>
        <v/>
      </c>
      <c r="AL18" s="36" t="str">
        <f t="shared" ref="AL18:AL20" si="6">+CONCATENATE(AH18, " - ", AJ18)</f>
        <v xml:space="preserve">Muy Baja - </v>
      </c>
      <c r="AM18" s="37" t="e">
        <f>+VLOOKUP(AL18,#REF!,2,)</f>
        <v>#REF!</v>
      </c>
      <c r="AN18" s="154"/>
      <c r="AO18" s="99"/>
      <c r="AP18" s="271"/>
      <c r="AQ18" s="271"/>
      <c r="AR18" s="272"/>
      <c r="AS18" s="102"/>
      <c r="AT18" s="103">
        <v>46156</v>
      </c>
      <c r="AU18" s="255" t="s">
        <v>269</v>
      </c>
      <c r="AV18" s="273"/>
      <c r="AW18" s="274"/>
      <c r="AX18" s="249"/>
      <c r="AY18" s="104"/>
      <c r="AZ18" s="255" t="s">
        <v>270</v>
      </c>
      <c r="BA18" s="248"/>
    </row>
    <row r="19" spans="1:53" ht="219" customHeight="1" x14ac:dyDescent="0.3">
      <c r="A19" s="163"/>
      <c r="B19" s="237"/>
      <c r="C19" s="165"/>
      <c r="D19" s="165"/>
      <c r="E19" s="165"/>
      <c r="F19" s="165"/>
      <c r="G19" s="163"/>
      <c r="H19" s="160"/>
      <c r="I19" s="157"/>
      <c r="J19" s="238"/>
      <c r="K19" s="239"/>
      <c r="L19" s="160"/>
      <c r="M19" s="157"/>
      <c r="N19" s="157"/>
      <c r="O19" s="240"/>
      <c r="P19" s="99"/>
      <c r="Q19" s="100">
        <v>3</v>
      </c>
      <c r="R19" s="127" t="s">
        <v>271</v>
      </c>
      <c r="S19" s="127" t="s">
        <v>272</v>
      </c>
      <c r="T19" s="127" t="s">
        <v>273</v>
      </c>
      <c r="U19" s="127" t="s">
        <v>274</v>
      </c>
      <c r="V19" s="127" t="s">
        <v>275</v>
      </c>
      <c r="W19" s="127" t="s">
        <v>276</v>
      </c>
      <c r="X19" s="30" t="str">
        <f t="shared" si="3"/>
        <v>Probabilidad</v>
      </c>
      <c r="Y19" s="6" t="s">
        <v>76</v>
      </c>
      <c r="Z19" s="6" t="s">
        <v>77</v>
      </c>
      <c r="AA19" s="31" t="str">
        <f t="shared" si="0"/>
        <v>40%</v>
      </c>
      <c r="AB19" s="8" t="s">
        <v>78</v>
      </c>
      <c r="AC19" s="8" t="s">
        <v>277</v>
      </c>
      <c r="AD19" s="6" t="s">
        <v>99</v>
      </c>
      <c r="AE19" s="8" t="s">
        <v>81</v>
      </c>
      <c r="AF19" s="8" t="str">
        <f>+W19</f>
        <v>Contratos firmados
Oficios de solicitud de inicio del trámite ( Cuando aplique)</v>
      </c>
      <c r="AG19" s="34">
        <f>IFERROR(IF(AND(X18="Probabilidad",X19="Probabilidad"),(AI18-(+AI18*AA19)),IF(X19="Probabilidad",($I$17-(+$I$17*AA19)),IF(X19="Impacto",AI18,""))),"")</f>
        <v>8.6399999999999991E-2</v>
      </c>
      <c r="AH19" s="33" t="str">
        <f t="shared" si="1"/>
        <v>Muy Baja</v>
      </c>
      <c r="AI19" s="34">
        <f t="shared" si="4"/>
        <v>8.6399999999999991E-2</v>
      </c>
      <c r="AJ19" s="35" t="str">
        <f t="shared" si="2"/>
        <v/>
      </c>
      <c r="AK19" s="32" t="str">
        <f>IFERROR(IF(AND(X17="Impacto",X17="Impacto"),(AK17-(+AK17*AA19)),IF(X19="Impacto",($M$17-(+$M$17*AA19)),IF(X19="Probabilidad",AK17,""))),"")</f>
        <v/>
      </c>
      <c r="AL19" s="36" t="str">
        <f t="shared" si="6"/>
        <v xml:space="preserve">Muy Baja - </v>
      </c>
      <c r="AM19" s="37" t="e">
        <f>+VLOOKUP(AL19,#REF!,2,)</f>
        <v>#REF!</v>
      </c>
      <c r="AN19" s="154"/>
      <c r="AO19" s="99"/>
      <c r="AP19" s="271"/>
      <c r="AQ19" s="271"/>
      <c r="AR19" s="272"/>
      <c r="AS19" s="102"/>
      <c r="AT19" s="103">
        <v>46156</v>
      </c>
      <c r="AU19" s="246" t="s">
        <v>278</v>
      </c>
      <c r="AV19" s="273"/>
      <c r="AW19" s="274"/>
      <c r="AX19" s="249"/>
      <c r="AY19" s="104"/>
      <c r="AZ19" s="255" t="s">
        <v>279</v>
      </c>
      <c r="BA19" s="248"/>
    </row>
    <row r="20" spans="1:53" ht="231.9" customHeight="1" x14ac:dyDescent="0.3">
      <c r="A20" s="163"/>
      <c r="B20" s="237"/>
      <c r="C20" s="165"/>
      <c r="D20" s="165"/>
      <c r="E20" s="165"/>
      <c r="F20" s="165"/>
      <c r="G20" s="163"/>
      <c r="H20" s="160"/>
      <c r="I20" s="157"/>
      <c r="J20" s="238"/>
      <c r="K20" s="239"/>
      <c r="L20" s="160"/>
      <c r="M20" s="157"/>
      <c r="N20" s="157"/>
      <c r="O20" s="240"/>
      <c r="P20" s="99"/>
      <c r="Q20" s="100">
        <v>4</v>
      </c>
      <c r="R20" s="127" t="s">
        <v>216</v>
      </c>
      <c r="S20" s="253" t="s">
        <v>280</v>
      </c>
      <c r="T20" s="254" t="s">
        <v>281</v>
      </c>
      <c r="U20" s="127" t="s">
        <v>219</v>
      </c>
      <c r="V20" s="127" t="s">
        <v>220</v>
      </c>
      <c r="W20" s="127" t="s">
        <v>282</v>
      </c>
      <c r="X20" s="30" t="str">
        <f t="shared" si="3"/>
        <v>Impacto</v>
      </c>
      <c r="Y20" s="6" t="s">
        <v>151</v>
      </c>
      <c r="Z20" s="6" t="s">
        <v>77</v>
      </c>
      <c r="AA20" s="31" t="str">
        <f t="shared" si="0"/>
        <v>25%</v>
      </c>
      <c r="AB20" s="8" t="s">
        <v>78</v>
      </c>
      <c r="AC20" s="242" t="s">
        <v>222</v>
      </c>
      <c r="AD20" s="6" t="s">
        <v>99</v>
      </c>
      <c r="AE20" s="8" t="s">
        <v>81</v>
      </c>
      <c r="AF20" s="8" t="str">
        <f>+W20</f>
        <v>Contratos de aprovechamiento y compensación forestal en los cuales se establece la constitución de pólizas de amparo / Pólizas de amparo 
Correo electrónico (Cuando aplique)</v>
      </c>
      <c r="AG20" s="34">
        <f t="shared" ref="AG20" si="7">IFERROR(IF(AND(X19="Probabilidad",X20="Probabilidad"),(AI19-(+AI19*AA20)),IF(X20="Probabilidad",($I$17-(+$I$17*AA20)),IF(X20="Impacto",AI19,""))),"")</f>
        <v>8.6399999999999991E-2</v>
      </c>
      <c r="AH20" s="33" t="str">
        <f t="shared" si="1"/>
        <v>Muy Baja</v>
      </c>
      <c r="AI20" s="34">
        <f t="shared" si="4"/>
        <v>8.6399999999999991E-2</v>
      </c>
      <c r="AJ20" s="35" t="str">
        <f t="shared" si="2"/>
        <v/>
      </c>
      <c r="AK20" s="32" t="str">
        <f t="shared" ref="AK20" si="8">IFERROR(IF(AND(X18="Impacto",X18="Impacto"),(AK18-(+AK18*AA20)),IF(X20="Impacto",($M$17-(+$M$17*AA20)),IF(X20="Probabilidad",AK18,""))),"")</f>
        <v/>
      </c>
      <c r="AL20" s="36" t="str">
        <f t="shared" si="6"/>
        <v xml:space="preserve">Muy Baja - </v>
      </c>
      <c r="AM20" s="37" t="e">
        <f>+VLOOKUP(AL20,#REF!,2,)</f>
        <v>#REF!</v>
      </c>
      <c r="AN20" s="154"/>
      <c r="AO20" s="99"/>
      <c r="AP20" s="271"/>
      <c r="AQ20" s="271"/>
      <c r="AR20" s="272"/>
      <c r="AS20" s="102"/>
      <c r="AT20" s="103">
        <v>46156</v>
      </c>
      <c r="AU20" s="246" t="s">
        <v>278</v>
      </c>
      <c r="AV20" s="273"/>
      <c r="AW20" s="270"/>
      <c r="AX20" s="249"/>
      <c r="AY20" s="104"/>
      <c r="AZ20" s="255" t="s">
        <v>279</v>
      </c>
      <c r="BA20" s="248"/>
    </row>
    <row r="21" spans="1:53" ht="93.75" customHeight="1" x14ac:dyDescent="0.3">
      <c r="B21" s="76"/>
      <c r="C21" s="77"/>
      <c r="D21" s="77"/>
      <c r="E21" s="77"/>
      <c r="F21" s="77"/>
      <c r="G21" s="76"/>
      <c r="H21" s="76"/>
      <c r="I21" s="78"/>
      <c r="J21" s="79"/>
      <c r="K21" s="80"/>
      <c r="L21" s="76"/>
      <c r="M21" s="78"/>
      <c r="N21" s="78"/>
      <c r="O21" s="81"/>
      <c r="P21" s="2"/>
      <c r="Q21" s="82"/>
      <c r="R21" s="22"/>
      <c r="S21" s="22"/>
      <c r="T21" s="22"/>
      <c r="U21" s="22"/>
      <c r="V21" s="22"/>
      <c r="W21" s="22"/>
      <c r="X21" s="82"/>
      <c r="Y21" s="83"/>
      <c r="Z21" s="83"/>
      <c r="AA21" s="84"/>
      <c r="AB21" s="85"/>
      <c r="AC21" s="86"/>
      <c r="AD21" s="83"/>
      <c r="AE21" s="85"/>
      <c r="AF21" s="85"/>
      <c r="AG21" s="87"/>
      <c r="AH21" s="83"/>
      <c r="AI21" s="88"/>
      <c r="AJ21" s="89"/>
      <c r="AK21" s="87"/>
      <c r="AL21" s="90"/>
      <c r="AM21" s="91"/>
      <c r="AN21" s="92"/>
      <c r="AO21" s="2"/>
      <c r="AP21" s="74"/>
      <c r="AQ21" s="74"/>
      <c r="AR21" s="74"/>
      <c r="AT21" s="45"/>
      <c r="AU21" s="46"/>
      <c r="AV21" s="47"/>
      <c r="AW21" s="48"/>
      <c r="AX21" s="49"/>
      <c r="AY21" s="27"/>
      <c r="AZ21" s="47"/>
      <c r="BA21" s="50"/>
    </row>
    <row r="22" spans="1:53" ht="20.399999999999999" x14ac:dyDescent="0.3">
      <c r="A22" s="152" t="s">
        <v>103</v>
      </c>
      <c r="B22" s="152"/>
      <c r="C22" s="152"/>
      <c r="D22" s="152"/>
      <c r="E22" s="152"/>
      <c r="F22" s="152"/>
      <c r="G22" s="152"/>
      <c r="H22" s="152"/>
      <c r="P22" s="2"/>
      <c r="BA22" s="39" t="s">
        <v>104</v>
      </c>
    </row>
    <row r="23" spans="1:53" x14ac:dyDescent="0.3">
      <c r="P23" s="2"/>
    </row>
    <row r="24" spans="1:53" x14ac:dyDescent="0.3">
      <c r="P24" s="2"/>
    </row>
    <row r="25" spans="1:53" x14ac:dyDescent="0.3">
      <c r="P25" s="2"/>
    </row>
    <row r="26" spans="1:53" x14ac:dyDescent="0.3">
      <c r="P26" s="2"/>
    </row>
    <row r="27" spans="1:53" x14ac:dyDescent="0.3">
      <c r="P27" s="2"/>
    </row>
    <row r="28" spans="1:53" x14ac:dyDescent="0.3">
      <c r="P28" s="2"/>
    </row>
    <row r="29" spans="1:53" x14ac:dyDescent="0.3">
      <c r="P29" s="2"/>
    </row>
    <row r="30" spans="1:53" s="1" customFormat="1" x14ac:dyDescent="0.3">
      <c r="A30"/>
      <c r="B30"/>
      <c r="C30"/>
      <c r="D30"/>
      <c r="E30"/>
      <c r="F30"/>
      <c r="G30"/>
      <c r="H30"/>
      <c r="I30"/>
      <c r="J30"/>
      <c r="K30"/>
      <c r="P30" s="2"/>
      <c r="AN30" s="4"/>
      <c r="AO30" s="4"/>
      <c r="AP30" s="4"/>
      <c r="AS30"/>
      <c r="AT30"/>
      <c r="AU30"/>
      <c r="AV30"/>
      <c r="AW30"/>
      <c r="AX30"/>
      <c r="AY30"/>
      <c r="AZ30"/>
      <c r="BA30"/>
    </row>
  </sheetData>
  <mergeCells count="51">
    <mergeCell ref="AW17:AW20"/>
    <mergeCell ref="AX17:AX20"/>
    <mergeCell ref="BA17:BA20"/>
    <mergeCell ref="A22:H22"/>
    <mergeCell ref="O17:O20"/>
    <mergeCell ref="AN17:AN20"/>
    <mergeCell ref="AP17:AP20"/>
    <mergeCell ref="AQ17:AQ20"/>
    <mergeCell ref="AR17:AR20"/>
    <mergeCell ref="AV17:AV20"/>
    <mergeCell ref="I17:I20"/>
    <mergeCell ref="J17:J20"/>
    <mergeCell ref="K17:K20"/>
    <mergeCell ref="L17:L20"/>
    <mergeCell ref="M17:M20"/>
    <mergeCell ref="N17:N20"/>
    <mergeCell ref="AB16:AC16"/>
    <mergeCell ref="AE16:AF16"/>
    <mergeCell ref="A17:A20"/>
    <mergeCell ref="B17:B20"/>
    <mergeCell ref="C17:C20"/>
    <mergeCell ref="D17:D20"/>
    <mergeCell ref="E17:E20"/>
    <mergeCell ref="F17:F20"/>
    <mergeCell ref="G17:G20"/>
    <mergeCell ref="H17:H20"/>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21">
    <cfRule type="cellIs" dxfId="371" priority="24" operator="equal">
      <formula>"Muy Alta"</formula>
    </cfRule>
    <cfRule type="cellIs" dxfId="370" priority="25" operator="equal">
      <formula>"Alta"</formula>
    </cfRule>
    <cfRule type="cellIs" dxfId="369" priority="26" operator="equal">
      <formula>"Media"</formula>
    </cfRule>
    <cfRule type="cellIs" dxfId="368" priority="27" operator="equal">
      <formula>"Muy Baja"</formula>
    </cfRule>
    <cfRule type="cellIs" dxfId="367" priority="28" operator="equal">
      <formula>"Baja"</formula>
    </cfRule>
  </conditionalFormatting>
  <conditionalFormatting sqref="L17:L21">
    <cfRule type="cellIs" dxfId="366" priority="19" operator="equal">
      <formula>"Leve"</formula>
    </cfRule>
    <cfRule type="cellIs" dxfId="365" priority="20" operator="equal">
      <formula>"Catastrófico"</formula>
    </cfRule>
    <cfRule type="cellIs" dxfId="364" priority="21" operator="equal">
      <formula>"Mayor"</formula>
    </cfRule>
    <cfRule type="cellIs" dxfId="363" priority="22" operator="equal">
      <formula>"Moderado"</formula>
    </cfRule>
    <cfRule type="cellIs" dxfId="362" priority="23" operator="equal">
      <formula>"Menor"</formula>
    </cfRule>
  </conditionalFormatting>
  <conditionalFormatting sqref="O17:O21">
    <cfRule type="cellIs" dxfId="361" priority="15" operator="equal">
      <formula>"EXTREMO"</formula>
    </cfRule>
    <cfRule type="cellIs" dxfId="360" priority="16" operator="equal">
      <formula>"ALTO"</formula>
    </cfRule>
    <cfRule type="cellIs" dxfId="359" priority="17" operator="equal">
      <formula>"BAJO"</formula>
    </cfRule>
    <cfRule type="cellIs" dxfId="358" priority="18" operator="equal">
      <formula>"MODERADO"</formula>
    </cfRule>
  </conditionalFormatting>
  <conditionalFormatting sqref="AH17:AH21">
    <cfRule type="cellIs" dxfId="357" priority="6" operator="equal">
      <formula>"Muy Baja"</formula>
    </cfRule>
    <cfRule type="cellIs" dxfId="356" priority="7" operator="equal">
      <formula>"Baja"</formula>
    </cfRule>
    <cfRule type="cellIs" dxfId="355" priority="8" operator="equal">
      <formula>"Media"</formula>
    </cfRule>
    <cfRule type="cellIs" dxfId="354" priority="9" operator="equal">
      <formula>"Muy Alta"</formula>
    </cfRule>
    <cfRule type="cellIs" dxfId="353" priority="10" operator="equal">
      <formula>"Alta"</formula>
    </cfRule>
  </conditionalFormatting>
  <conditionalFormatting sqref="AJ17:AJ21">
    <cfRule type="cellIs" dxfId="352" priority="1" operator="equal">
      <formula>"Catastrófico"</formula>
    </cfRule>
    <cfRule type="cellIs" dxfId="351" priority="2" operator="equal">
      <formula>"Mayor"</formula>
    </cfRule>
    <cfRule type="cellIs" dxfId="350" priority="3" operator="equal">
      <formula>"Moderado"</formula>
    </cfRule>
    <cfRule type="cellIs" dxfId="349" priority="4" operator="equal">
      <formula>"Menor"</formula>
    </cfRule>
    <cfRule type="cellIs" dxfId="348" priority="5" operator="equal">
      <formula>"Leve"</formula>
    </cfRule>
  </conditionalFormatting>
  <conditionalFormatting sqref="AM17:AM21">
    <cfRule type="cellIs" dxfId="347" priority="11" operator="equal">
      <formula>"EXTREMO"</formula>
    </cfRule>
    <cfRule type="cellIs" dxfId="346" priority="12" operator="equal">
      <formula>"ALTO"</formula>
    </cfRule>
    <cfRule type="cellIs" dxfId="345" priority="13" operator="equal">
      <formula>"BAJO"</formula>
    </cfRule>
    <cfRule type="cellIs" dxfId="344" priority="14" operator="equal">
      <formula>"MODERADO"</formula>
    </cfRule>
  </conditionalFormatting>
  <hyperlinks>
    <hyperlink ref="A14:O15" location="Instructivo!A1" display="IDENTIFICACIÓN DEL RIESGO" xr:uid="{50CAADF4-8272-43A3-AD04-AD6A9DE9CE4B}"/>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D1C1E-4C30-42A8-A501-D52C30869005}">
  <sheetPr>
    <tabColor theme="0"/>
    <pageSetUpPr fitToPage="1"/>
  </sheetPr>
  <dimension ref="A1:BA31"/>
  <sheetViews>
    <sheetView showGridLines="0" view="pageBreakPreview" topLeftCell="AU1" zoomScale="60" zoomScaleNormal="60" workbookViewId="0">
      <selection activeCell="BA16" sqref="BA16"/>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88671875" customWidth="1"/>
    <col min="12" max="12" width="20.109375"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23" width="46.6640625" style="1" customWidth="1"/>
    <col min="24" max="24" width="15.88671875" style="1" customWidth="1"/>
    <col min="25" max="27" width="10.33203125" style="1" customWidth="1"/>
    <col min="28" max="28" width="6" style="1" customWidth="1"/>
    <col min="29" max="29" width="13.6640625" style="1" customWidth="1"/>
    <col min="30" max="30" width="7.5546875" style="1" customWidth="1"/>
    <col min="31" max="31" width="5.6640625" style="1" customWidth="1"/>
    <col min="32" max="32" width="22.33203125"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5546875" style="4" customWidth="1"/>
    <col min="41" max="41" width="1" style="4" customWidth="1"/>
    <col min="42" max="42" width="26.88671875" style="4" customWidth="1"/>
    <col min="43" max="43" width="26.6640625" style="1" customWidth="1"/>
    <col min="44" max="44" width="20.88671875" style="1" customWidth="1"/>
    <col min="45" max="45" width="1" customWidth="1"/>
    <col min="46" max="46" width="18.33203125" customWidth="1"/>
    <col min="47" max="50" width="45" customWidth="1"/>
    <col min="51" max="51" width="1" customWidth="1"/>
    <col min="52" max="53" width="4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283</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399999999999999"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284</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45909</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29" t="s">
        <v>285</v>
      </c>
      <c r="E10" s="230"/>
      <c r="F10" s="230"/>
      <c r="G10" s="230"/>
      <c r="H10" s="230"/>
      <c r="I10" s="230"/>
      <c r="J10" s="230"/>
      <c r="K10" s="230"/>
      <c r="L10" s="230"/>
      <c r="M10" s="231"/>
      <c r="N10" s="21"/>
      <c r="AN10" s="1"/>
      <c r="AO10" s="1"/>
      <c r="AP10" s="1"/>
    </row>
    <row r="11" spans="1:53" s="3" customFormat="1" ht="75" customHeight="1" x14ac:dyDescent="0.3">
      <c r="A11" s="194" t="s">
        <v>11</v>
      </c>
      <c r="B11" s="194"/>
      <c r="C11" s="194"/>
      <c r="D11" s="275" t="s">
        <v>286</v>
      </c>
      <c r="E11" s="276"/>
      <c r="F11" s="276"/>
      <c r="G11" s="276"/>
      <c r="H11" s="276"/>
      <c r="I11" s="276"/>
      <c r="J11" s="276"/>
      <c r="K11" s="276"/>
      <c r="L11" s="276"/>
      <c r="M11" s="277"/>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94" t="s">
        <v>13</v>
      </c>
      <c r="B12" s="194"/>
      <c r="C12" s="194"/>
      <c r="D12" s="233" t="s">
        <v>287</v>
      </c>
      <c r="E12" s="234"/>
      <c r="F12" s="234"/>
      <c r="G12" s="234"/>
      <c r="H12" s="234"/>
      <c r="I12" s="234"/>
      <c r="J12" s="234"/>
      <c r="K12" s="234"/>
      <c r="L12" s="234"/>
      <c r="M12" s="235"/>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6" customHeight="1" x14ac:dyDescent="0.3">
      <c r="A14" s="166" t="s">
        <v>15</v>
      </c>
      <c r="B14" s="167"/>
      <c r="C14" s="167"/>
      <c r="D14" s="167"/>
      <c r="E14" s="167"/>
      <c r="F14" s="167"/>
      <c r="G14" s="167"/>
      <c r="H14" s="167"/>
      <c r="I14" s="167"/>
      <c r="J14" s="167"/>
      <c r="K14" s="167"/>
      <c r="L14" s="167"/>
      <c r="M14" s="167"/>
      <c r="N14" s="168"/>
      <c r="O14" s="169"/>
      <c r="P14" s="2"/>
      <c r="Q14" s="174" t="s">
        <v>16</v>
      </c>
      <c r="R14" s="175"/>
      <c r="S14" s="175"/>
      <c r="T14" s="175"/>
      <c r="U14" s="175"/>
      <c r="V14" s="175"/>
      <c r="W14" s="175"/>
      <c r="X14" s="175"/>
      <c r="Y14" s="176"/>
      <c r="Z14" s="176"/>
      <c r="AA14" s="176"/>
      <c r="AB14" s="176"/>
      <c r="AC14" s="176"/>
      <c r="AD14" s="176"/>
      <c r="AE14" s="176"/>
      <c r="AF14" s="175"/>
      <c r="AG14" s="175"/>
      <c r="AH14" s="175"/>
      <c r="AI14" s="175"/>
      <c r="AJ14" s="175"/>
      <c r="AK14" s="175"/>
      <c r="AL14" s="175"/>
      <c r="AM14" s="175"/>
      <c r="AN14" s="177"/>
      <c r="AO14" s="2"/>
      <c r="AP14" s="178" t="s">
        <v>17</v>
      </c>
      <c r="AQ14" s="179"/>
      <c r="AR14" s="180"/>
      <c r="AT14" s="184" t="s">
        <v>18</v>
      </c>
      <c r="AU14" s="185"/>
      <c r="AV14" s="185"/>
      <c r="AW14" s="185"/>
      <c r="AX14" s="186"/>
      <c r="AY14" s="27"/>
      <c r="AZ14" s="178" t="s">
        <v>19</v>
      </c>
      <c r="BA14" s="180"/>
    </row>
    <row r="15" spans="1:53" x14ac:dyDescent="0.3">
      <c r="A15" s="170"/>
      <c r="B15" s="171"/>
      <c r="C15" s="171"/>
      <c r="D15" s="171"/>
      <c r="E15" s="171"/>
      <c r="F15" s="171"/>
      <c r="G15" s="171"/>
      <c r="H15" s="171"/>
      <c r="I15" s="171"/>
      <c r="J15" s="171"/>
      <c r="K15" s="171"/>
      <c r="L15" s="171"/>
      <c r="M15" s="171"/>
      <c r="N15" s="172"/>
      <c r="O15" s="173"/>
      <c r="P15" s="2"/>
      <c r="Q15" s="23"/>
      <c r="R15" s="24"/>
      <c r="S15" s="24"/>
      <c r="T15" s="24"/>
      <c r="U15" s="24"/>
      <c r="V15" s="24"/>
      <c r="W15" s="24"/>
      <c r="X15" s="24"/>
      <c r="Y15" s="189" t="s">
        <v>20</v>
      </c>
      <c r="Z15" s="190"/>
      <c r="AA15" s="191"/>
      <c r="AB15" s="189" t="s">
        <v>21</v>
      </c>
      <c r="AC15" s="190"/>
      <c r="AD15" s="190"/>
      <c r="AE15" s="190"/>
      <c r="AF15" s="191"/>
      <c r="AG15" s="192"/>
      <c r="AH15" s="192"/>
      <c r="AI15" s="192"/>
      <c r="AJ15" s="192"/>
      <c r="AK15" s="192"/>
      <c r="AL15" s="192"/>
      <c r="AM15" s="192"/>
      <c r="AN15" s="193"/>
      <c r="AO15" s="2"/>
      <c r="AP15" s="181"/>
      <c r="AQ15" s="182"/>
      <c r="AR15" s="183"/>
      <c r="AT15" s="187"/>
      <c r="AU15" s="182"/>
      <c r="AV15" s="182"/>
      <c r="AW15" s="182"/>
      <c r="AX15" s="188"/>
      <c r="AY15" s="27"/>
      <c r="AZ15" s="181"/>
      <c r="BA15" s="183"/>
    </row>
    <row r="16" spans="1:53" s="5" customFormat="1" ht="166.5" customHeight="1" thickBot="1" x14ac:dyDescent="0.35">
      <c r="A16" s="9" t="s">
        <v>22</v>
      </c>
      <c r="B16" s="10" t="s">
        <v>23</v>
      </c>
      <c r="C16" s="11" t="s">
        <v>24</v>
      </c>
      <c r="D16" s="11" t="s">
        <v>25</v>
      </c>
      <c r="E16" s="12" t="s">
        <v>26</v>
      </c>
      <c r="F16" s="19" t="s">
        <v>27</v>
      </c>
      <c r="G16" s="29" t="s">
        <v>28</v>
      </c>
      <c r="H16" s="12" t="s">
        <v>29</v>
      </c>
      <c r="I16" s="11" t="s">
        <v>30</v>
      </c>
      <c r="J16" s="11" t="s">
        <v>31</v>
      </c>
      <c r="K16" s="12" t="s">
        <v>32</v>
      </c>
      <c r="L16" s="12" t="s">
        <v>33</v>
      </c>
      <c r="M16" s="11" t="s">
        <v>30</v>
      </c>
      <c r="N16" s="11" t="s">
        <v>34</v>
      </c>
      <c r="O16" s="13" t="s">
        <v>35</v>
      </c>
      <c r="P16" s="2"/>
      <c r="Q16" s="14" t="s">
        <v>36</v>
      </c>
      <c r="R16" s="95" t="s">
        <v>37</v>
      </c>
      <c r="S16" s="95" t="s">
        <v>38</v>
      </c>
      <c r="T16" s="95" t="s">
        <v>39</v>
      </c>
      <c r="U16" s="95" t="s">
        <v>40</v>
      </c>
      <c r="V16" s="95" t="s">
        <v>41</v>
      </c>
      <c r="W16" s="95" t="s">
        <v>42</v>
      </c>
      <c r="X16" s="25" t="s">
        <v>43</v>
      </c>
      <c r="Y16" s="44" t="s">
        <v>44</v>
      </c>
      <c r="Z16" s="44" t="s">
        <v>45</v>
      </c>
      <c r="AA16" s="16" t="s">
        <v>46</v>
      </c>
      <c r="AB16" s="161" t="s">
        <v>47</v>
      </c>
      <c r="AC16" s="162"/>
      <c r="AD16" s="16" t="s">
        <v>48</v>
      </c>
      <c r="AE16" s="161" t="s">
        <v>49</v>
      </c>
      <c r="AF16" s="162"/>
      <c r="AG16" s="17" t="s">
        <v>50</v>
      </c>
      <c r="AH16" s="17" t="s">
        <v>51</v>
      </c>
      <c r="AI16" s="17" t="s">
        <v>30</v>
      </c>
      <c r="AJ16" s="17" t="s">
        <v>52</v>
      </c>
      <c r="AK16" s="17" t="s">
        <v>30</v>
      </c>
      <c r="AL16" s="17" t="s">
        <v>34</v>
      </c>
      <c r="AM16" s="17" t="s">
        <v>53</v>
      </c>
      <c r="AN16" s="13" t="s">
        <v>54</v>
      </c>
      <c r="AO16" s="2"/>
      <c r="AP16" s="18" t="s">
        <v>55</v>
      </c>
      <c r="AQ16" s="15" t="s">
        <v>56</v>
      </c>
      <c r="AR16" s="26" t="s">
        <v>57</v>
      </c>
      <c r="AT16" s="40" t="s">
        <v>58</v>
      </c>
      <c r="AU16" s="42" t="s">
        <v>59</v>
      </c>
      <c r="AV16" s="42" t="s">
        <v>60</v>
      </c>
      <c r="AW16" s="42" t="s">
        <v>61</v>
      </c>
      <c r="AX16" s="41" t="s">
        <v>62</v>
      </c>
      <c r="AY16" s="28"/>
      <c r="AZ16" s="43" t="s">
        <v>63</v>
      </c>
      <c r="BA16" s="96" t="s">
        <v>64</v>
      </c>
    </row>
    <row r="17" spans="1:53" ht="353.25" customHeight="1" x14ac:dyDescent="0.3">
      <c r="A17" s="278">
        <v>1</v>
      </c>
      <c r="B17" s="237" t="s">
        <v>146</v>
      </c>
      <c r="C17" s="279" t="s">
        <v>288</v>
      </c>
      <c r="D17" s="279" t="s">
        <v>289</v>
      </c>
      <c r="E17" s="279" t="s">
        <v>290</v>
      </c>
      <c r="F17" s="279"/>
      <c r="G17" s="280">
        <v>32</v>
      </c>
      <c r="H17" s="160" t="str">
        <f>IF(G17&lt;=0,"",IF(G17&lt;=2,"Muy Baja",IF(G17&lt;=24,"Baja",IF(G17&lt;=500,"Media",IF(G17&lt;=5000,"Alta","Muy Alta")))))</f>
        <v>Media</v>
      </c>
      <c r="I17" s="157">
        <f>IF(H17="","",IF(H17="Muy Baja",0.2,IF(H17="Baja",0.4,IF(H17="Media",0.6,IF(H17="Alta",0.8,IF(H17="Muy Alta",1,))))))</f>
        <v>0.6</v>
      </c>
      <c r="J17" s="281" t="s">
        <v>150</v>
      </c>
      <c r="K17" s="282" t="str">
        <f>+J17</f>
        <v>El riesgo afecta la imagen de la entidad con algunos usuarios de relevancia frente al logro de los objetivos.</v>
      </c>
      <c r="L17" s="160" t="str">
        <f>+VLOOKUP(K17,[2]Datos!$O$4:$P$15,2,FALSE)</f>
        <v>Moderado</v>
      </c>
      <c r="M17" s="157">
        <f>IF(L17="","",IF(L17="Leve",0.2,IF(L17="Menor",0.4,IF(L17="Moderado",0.6,IF(L17="Mayor",0.8,IF(L17="Catastrófico",1,))))))</f>
        <v>0.6</v>
      </c>
      <c r="N17" s="283" t="str">
        <f>+CONCATENATE(H17, " - ", L17)</f>
        <v>Media - Moderado</v>
      </c>
      <c r="O17" s="284" t="str">
        <f>+VLOOKUP(N17,[2]Datos!J4:K28,2,)</f>
        <v>MODERADO</v>
      </c>
      <c r="P17" s="285"/>
      <c r="Q17" s="100">
        <v>1</v>
      </c>
      <c r="R17" s="75" t="s">
        <v>291</v>
      </c>
      <c r="S17" s="75" t="s">
        <v>292</v>
      </c>
      <c r="T17" s="75" t="s">
        <v>293</v>
      </c>
      <c r="U17" s="75" t="s">
        <v>294</v>
      </c>
      <c r="V17" s="75" t="s">
        <v>295</v>
      </c>
      <c r="W17" s="71" t="s">
        <v>296</v>
      </c>
      <c r="X17" s="30" t="str">
        <f>IF(OR(Y17="Preventivo",Y17="Detectivo"),"Probabilidad",IF(Y17="Correctivo","Impacto",""))</f>
        <v>Probabilidad</v>
      </c>
      <c r="Y17" s="6" t="s">
        <v>76</v>
      </c>
      <c r="Z17" s="6" t="s">
        <v>77</v>
      </c>
      <c r="AA17" s="31" t="str">
        <f t="shared" ref="AA17:AA21" si="0">IF(AND(Y17="Preventivo",Z17="Automático"),"50%",IF(AND(Y17="Preventivo",Z17="Manual"),"40%",IF(AND(Y17="Detectivo",Z17="Automático"),"40%",IF(AND(Y17="Detectivo",Z17="Manual"),"30%",IF(AND(Y17="Correctivo",Z17="Automático"),"35%",IF(AND(Y17="Correctivo",Z17="Manual"),"25%",""))))))</f>
        <v>40%</v>
      </c>
      <c r="AB17" s="8" t="s">
        <v>78</v>
      </c>
      <c r="AC17" s="8" t="s">
        <v>297</v>
      </c>
      <c r="AD17" s="6" t="s">
        <v>99</v>
      </c>
      <c r="AE17" s="8" t="s">
        <v>81</v>
      </c>
      <c r="AF17" s="242" t="str">
        <f>+W17</f>
        <v xml:space="preserve">Acto Administrativo que adopta la Política Distrital
Acta de comité de conciliación en donde es aprobada y socializada la política
</v>
      </c>
      <c r="AG17" s="32">
        <f>IFERROR(IF(X17="Probabilidad",(I17-(+I17*AA17)),IF(X17="Impacto",I17,"")),"")</f>
        <v>0.36</v>
      </c>
      <c r="AH17" s="33" t="str">
        <f t="shared" ref="AH17:AH21" si="1">IFERROR(IF(AG17="","",IF(AG17&lt;=0.2,"Muy Baja",IF(AG17&lt;=0.4,"Baja",IF(AG17&lt;=0.6,"Media",IF(AG17&lt;=0.8,"Alta","Muy Alta"))))),"")</f>
        <v>Baja</v>
      </c>
      <c r="AI17" s="34">
        <f>I17-(AA17*I17)</f>
        <v>0.36</v>
      </c>
      <c r="AJ17" s="35" t="str">
        <f t="shared" ref="AJ17:AJ21" si="2">IFERROR(IF(AK17="","",IF(AK17&lt;=0.2,"Leve",IF(AK17&lt;=0.4,"Menor",IF(AK17&lt;=0.6,"Moderado",IF(AK17&lt;=0.8,"Mayor","Catastrófico"))))),"")</f>
        <v>Moderado</v>
      </c>
      <c r="AK17" s="32">
        <f>IFERROR(IF(X17="Impacto",(M17-(+M17*AA17)),IF(X17="Probabilidad",M17,"")),"")</f>
        <v>0.6</v>
      </c>
      <c r="AL17" s="36" t="str">
        <f>+CONCATENATE(AH17, " - ", AJ17)</f>
        <v>Baja - Moderado</v>
      </c>
      <c r="AM17" s="37" t="s">
        <v>147</v>
      </c>
      <c r="AN17" s="154" t="s">
        <v>82</v>
      </c>
      <c r="AO17" s="99"/>
      <c r="AP17" s="271" t="s">
        <v>298</v>
      </c>
      <c r="AQ17" s="271" t="s">
        <v>299</v>
      </c>
      <c r="AR17" s="286">
        <v>46203</v>
      </c>
      <c r="AS17" s="102"/>
      <c r="AT17" s="103">
        <v>46155</v>
      </c>
      <c r="AU17" s="287" t="s">
        <v>300</v>
      </c>
      <c r="AV17" s="288" t="s">
        <v>301</v>
      </c>
      <c r="AW17" s="289" t="s">
        <v>302</v>
      </c>
      <c r="AX17" s="288" t="s">
        <v>172</v>
      </c>
      <c r="AY17" s="104"/>
      <c r="AZ17" s="290" t="s">
        <v>303</v>
      </c>
      <c r="BA17" s="291" t="s">
        <v>304</v>
      </c>
    </row>
    <row r="18" spans="1:53" ht="353.25" customHeight="1" thickBot="1" x14ac:dyDescent="0.35">
      <c r="A18" s="292"/>
      <c r="B18" s="293"/>
      <c r="C18" s="294"/>
      <c r="D18" s="294"/>
      <c r="E18" s="294"/>
      <c r="F18" s="294"/>
      <c r="G18" s="295"/>
      <c r="H18" s="296"/>
      <c r="I18" s="283"/>
      <c r="J18" s="297"/>
      <c r="K18" s="298"/>
      <c r="L18" s="296"/>
      <c r="M18" s="283"/>
      <c r="N18" s="299"/>
      <c r="O18" s="300"/>
      <c r="P18" s="82"/>
      <c r="Q18" s="100">
        <v>2</v>
      </c>
      <c r="R18" s="75" t="s">
        <v>305</v>
      </c>
      <c r="S18" s="75" t="s">
        <v>185</v>
      </c>
      <c r="T18" s="75" t="s">
        <v>306</v>
      </c>
      <c r="U18" s="75" t="s">
        <v>307</v>
      </c>
      <c r="V18" s="75" t="s">
        <v>308</v>
      </c>
      <c r="W18" s="71" t="s">
        <v>309</v>
      </c>
      <c r="X18" s="30" t="str">
        <f>IF(OR(Y18="Preventivo",Y18="Detectivo"),"Probabilidad",IF(Y18="Correctivo","Impacto",""))</f>
        <v>Probabilidad</v>
      </c>
      <c r="Y18" s="6" t="s">
        <v>98</v>
      </c>
      <c r="Z18" s="6" t="s">
        <v>77</v>
      </c>
      <c r="AA18" s="31" t="str">
        <f t="shared" si="0"/>
        <v>30%</v>
      </c>
      <c r="AB18" s="8" t="s">
        <v>78</v>
      </c>
      <c r="AC18" s="8" t="s">
        <v>310</v>
      </c>
      <c r="AD18" s="6" t="s">
        <v>99</v>
      </c>
      <c r="AE18" s="8" t="s">
        <v>81</v>
      </c>
      <c r="AF18" s="242" t="str">
        <f>+W18</f>
        <v>Informes de contingente judicial y/o captura de pantalla de la revisión realizada.</v>
      </c>
      <c r="AG18" s="301">
        <f t="shared" ref="AG18:AG21" si="3">IFERROR(IF(AND(X17="Probabilidad",X18="Probabilidad"),(AI17-(+AI17*AA18)),IF(X18="Probabilidad",($I$17-(+$I$17*AA18)),IF(X18="Impacto",AI17,""))),"")</f>
        <v>0.252</v>
      </c>
      <c r="AH18" s="33" t="str">
        <f t="shared" si="1"/>
        <v>Baja</v>
      </c>
      <c r="AI18" s="34">
        <f t="shared" ref="AI18:AI21" si="4">+AG18</f>
        <v>0.252</v>
      </c>
      <c r="AJ18" s="35" t="str">
        <f t="shared" si="2"/>
        <v>Moderado</v>
      </c>
      <c r="AK18" s="302">
        <f t="shared" ref="AK18:AK21" si="5">IFERROR(IF(AND(X17="Impacto",X17="Impacto"),(AK17-(+AK17*AA18)),IF(X18="Impacto",($M$17-(+$M$17*AA18)),IF(X18="Probabilidad",AK17,""))),"")</f>
        <v>0.6</v>
      </c>
      <c r="AL18" s="36" t="str">
        <f t="shared" ref="AL18:AL21" si="6">+CONCATENATE(AH18, " - ", AJ18)</f>
        <v>Baja - Moderado</v>
      </c>
      <c r="AM18" s="37" t="s">
        <v>147</v>
      </c>
      <c r="AN18" s="154"/>
      <c r="AO18" s="99"/>
      <c r="AP18" s="303"/>
      <c r="AQ18" s="271"/>
      <c r="AR18" s="286"/>
      <c r="AS18" s="102"/>
      <c r="AT18" s="103">
        <v>46155</v>
      </c>
      <c r="AU18" s="75" t="s">
        <v>311</v>
      </c>
      <c r="AV18" s="288" t="s">
        <v>301</v>
      </c>
      <c r="AW18" s="289" t="s">
        <v>302</v>
      </c>
      <c r="AX18" s="288" t="s">
        <v>172</v>
      </c>
      <c r="AY18" s="104"/>
      <c r="AZ18" s="291" t="s">
        <v>312</v>
      </c>
      <c r="BA18" s="291" t="s">
        <v>313</v>
      </c>
    </row>
    <row r="19" spans="1:53" ht="353.25" customHeight="1" thickBot="1" x14ac:dyDescent="0.35">
      <c r="A19" s="292"/>
      <c r="B19" s="293"/>
      <c r="C19" s="294"/>
      <c r="D19" s="294"/>
      <c r="E19" s="294"/>
      <c r="F19" s="294"/>
      <c r="G19" s="295"/>
      <c r="H19" s="296"/>
      <c r="I19" s="283"/>
      <c r="J19" s="297"/>
      <c r="K19" s="298"/>
      <c r="L19" s="296"/>
      <c r="M19" s="283"/>
      <c r="N19" s="299"/>
      <c r="O19" s="300"/>
      <c r="P19" s="82"/>
      <c r="Q19" s="100">
        <v>3</v>
      </c>
      <c r="R19" s="75" t="s">
        <v>314</v>
      </c>
      <c r="S19" s="75" t="s">
        <v>315</v>
      </c>
      <c r="T19" s="75" t="s">
        <v>316</v>
      </c>
      <c r="U19" s="75" t="s">
        <v>317</v>
      </c>
      <c r="V19" s="75" t="s">
        <v>318</v>
      </c>
      <c r="W19" s="71" t="s">
        <v>319</v>
      </c>
      <c r="X19" s="30" t="str">
        <f>IF(OR(Y19="Preventivo",Y19="Detectivo"),"Probabilidad",IF(Y19="Correctivo","Impacto",""))</f>
        <v>Probabilidad</v>
      </c>
      <c r="Y19" s="6" t="s">
        <v>98</v>
      </c>
      <c r="Z19" s="6" t="s">
        <v>77</v>
      </c>
      <c r="AA19" s="31" t="str">
        <f t="shared" si="0"/>
        <v>30%</v>
      </c>
      <c r="AB19" s="8" t="s">
        <v>78</v>
      </c>
      <c r="AC19" s="8" t="s">
        <v>320</v>
      </c>
      <c r="AD19" s="6" t="s">
        <v>99</v>
      </c>
      <c r="AE19" s="8" t="s">
        <v>81</v>
      </c>
      <c r="AF19" s="8" t="str">
        <f>+W19</f>
        <v>Informes presentados al supervisor para aprobación
Correos electrónicos (Cuando aplique).</v>
      </c>
      <c r="AG19" s="302">
        <f t="shared" si="3"/>
        <v>0.1764</v>
      </c>
      <c r="AH19" s="33" t="str">
        <f t="shared" si="1"/>
        <v>Muy Baja</v>
      </c>
      <c r="AI19" s="34">
        <f t="shared" si="4"/>
        <v>0.1764</v>
      </c>
      <c r="AJ19" s="35" t="str">
        <f t="shared" si="2"/>
        <v>Moderado</v>
      </c>
      <c r="AK19" s="302">
        <f t="shared" si="5"/>
        <v>0.6</v>
      </c>
      <c r="AL19" s="36" t="str">
        <f t="shared" si="6"/>
        <v>Muy Baja - Moderado</v>
      </c>
      <c r="AM19" s="37" t="s">
        <v>147</v>
      </c>
      <c r="AN19" s="154"/>
      <c r="AO19" s="99"/>
      <c r="AP19" s="303"/>
      <c r="AQ19" s="271"/>
      <c r="AR19" s="286"/>
      <c r="AS19" s="102"/>
      <c r="AT19" s="103">
        <v>46155</v>
      </c>
      <c r="AU19" s="75" t="s">
        <v>321</v>
      </c>
      <c r="AV19" s="288" t="s">
        <v>301</v>
      </c>
      <c r="AW19" s="289" t="s">
        <v>302</v>
      </c>
      <c r="AX19" s="288" t="s">
        <v>172</v>
      </c>
      <c r="AY19" s="104"/>
      <c r="AZ19" s="255" t="s">
        <v>322</v>
      </c>
      <c r="BA19" s="291" t="s">
        <v>323</v>
      </c>
    </row>
    <row r="20" spans="1:53" ht="353.25" customHeight="1" thickBot="1" x14ac:dyDescent="0.35">
      <c r="A20" s="292"/>
      <c r="B20" s="293"/>
      <c r="C20" s="294"/>
      <c r="D20" s="294"/>
      <c r="E20" s="294"/>
      <c r="F20" s="294"/>
      <c r="G20" s="295"/>
      <c r="H20" s="296"/>
      <c r="I20" s="283"/>
      <c r="J20" s="297"/>
      <c r="K20" s="298"/>
      <c r="L20" s="296"/>
      <c r="M20" s="283"/>
      <c r="N20" s="299"/>
      <c r="O20" s="300"/>
      <c r="P20" s="82"/>
      <c r="Q20" s="100">
        <v>4</v>
      </c>
      <c r="R20" s="75" t="s">
        <v>324</v>
      </c>
      <c r="S20" s="75" t="s">
        <v>325</v>
      </c>
      <c r="T20" s="75" t="s">
        <v>326</v>
      </c>
      <c r="U20" s="75" t="s">
        <v>327</v>
      </c>
      <c r="V20" s="75" t="s">
        <v>328</v>
      </c>
      <c r="W20" s="75" t="s">
        <v>329</v>
      </c>
      <c r="X20" s="30" t="str">
        <f t="shared" ref="X20:X21" si="7">IF(OR(Y20="Preventivo",Y20="Detectivo"),"Probabilidad",IF(Y20="Correctivo","Impacto",""))</f>
        <v>Probabilidad</v>
      </c>
      <c r="Y20" s="6" t="s">
        <v>98</v>
      </c>
      <c r="Z20" s="6" t="s">
        <v>77</v>
      </c>
      <c r="AA20" s="31" t="str">
        <f t="shared" si="0"/>
        <v>30%</v>
      </c>
      <c r="AB20" s="8" t="s">
        <v>78</v>
      </c>
      <c r="AC20" s="8" t="s">
        <v>330</v>
      </c>
      <c r="AD20" s="6" t="s">
        <v>99</v>
      </c>
      <c r="AE20" s="8" t="s">
        <v>81</v>
      </c>
      <c r="AF20" s="8" t="str">
        <f>+W20</f>
        <v>Actas de Comité 
Formato de no realización de Comité
Informe con los casos pendientes que no se presentaron. (Cuando aplique)</v>
      </c>
      <c r="AG20" s="302">
        <f t="shared" si="3"/>
        <v>0.12348000000000001</v>
      </c>
      <c r="AH20" s="33" t="str">
        <f t="shared" si="1"/>
        <v>Muy Baja</v>
      </c>
      <c r="AI20" s="34">
        <f t="shared" si="4"/>
        <v>0.12348000000000001</v>
      </c>
      <c r="AJ20" s="35" t="str">
        <f t="shared" si="2"/>
        <v>Moderado</v>
      </c>
      <c r="AK20" s="302">
        <f t="shared" si="5"/>
        <v>0.6</v>
      </c>
      <c r="AL20" s="36" t="str">
        <f t="shared" si="6"/>
        <v>Muy Baja - Moderado</v>
      </c>
      <c r="AM20" s="37" t="s">
        <v>147</v>
      </c>
      <c r="AN20" s="154"/>
      <c r="AO20" s="99"/>
      <c r="AP20" s="303"/>
      <c r="AQ20" s="271"/>
      <c r="AR20" s="286"/>
      <c r="AS20" s="102"/>
      <c r="AT20" s="103">
        <v>46155</v>
      </c>
      <c r="AU20" s="304" t="s">
        <v>331</v>
      </c>
      <c r="AV20" s="288" t="s">
        <v>301</v>
      </c>
      <c r="AW20" s="305" t="s">
        <v>172</v>
      </c>
      <c r="AX20" s="288" t="s">
        <v>172</v>
      </c>
      <c r="AY20" s="104"/>
      <c r="AZ20" s="306" t="s">
        <v>332</v>
      </c>
      <c r="BA20" s="291" t="s">
        <v>333</v>
      </c>
    </row>
    <row r="21" spans="1:53" ht="397.5" customHeight="1" thickBot="1" x14ac:dyDescent="0.35">
      <c r="A21" s="278"/>
      <c r="B21" s="293"/>
      <c r="C21" s="294"/>
      <c r="D21" s="294"/>
      <c r="E21" s="294"/>
      <c r="F21" s="294"/>
      <c r="G21" s="295"/>
      <c r="H21" s="296"/>
      <c r="I21" s="283"/>
      <c r="J21" s="297"/>
      <c r="K21" s="298"/>
      <c r="L21" s="296"/>
      <c r="M21" s="283"/>
      <c r="N21" s="299"/>
      <c r="O21" s="300"/>
      <c r="P21" s="82"/>
      <c r="Q21" s="100">
        <v>5</v>
      </c>
      <c r="R21" s="75" t="s">
        <v>324</v>
      </c>
      <c r="S21" s="75" t="s">
        <v>334</v>
      </c>
      <c r="T21" s="75" t="s">
        <v>335</v>
      </c>
      <c r="U21" s="75" t="s">
        <v>336</v>
      </c>
      <c r="V21" s="75" t="s">
        <v>337</v>
      </c>
      <c r="W21" s="75" t="s">
        <v>338</v>
      </c>
      <c r="X21" s="30" t="str">
        <f t="shared" si="7"/>
        <v>Impacto</v>
      </c>
      <c r="Y21" s="6" t="s">
        <v>151</v>
      </c>
      <c r="Z21" s="6" t="s">
        <v>77</v>
      </c>
      <c r="AA21" s="31" t="str">
        <f t="shared" si="0"/>
        <v>25%</v>
      </c>
      <c r="AB21" s="8" t="s">
        <v>78</v>
      </c>
      <c r="AC21" s="8" t="s">
        <v>339</v>
      </c>
      <c r="AD21" s="6" t="s">
        <v>99</v>
      </c>
      <c r="AE21" s="8" t="s">
        <v>81</v>
      </c>
      <c r="AF21" s="8" t="str">
        <f>+W21</f>
        <v xml:space="preserve">Actas de Comité 
Correo electrónico (Cuando aplique).
</v>
      </c>
      <c r="AG21" s="302">
        <f t="shared" si="3"/>
        <v>0.12348000000000001</v>
      </c>
      <c r="AH21" s="33" t="str">
        <f t="shared" si="1"/>
        <v>Muy Baja</v>
      </c>
      <c r="AI21" s="34">
        <f t="shared" si="4"/>
        <v>0.12348000000000001</v>
      </c>
      <c r="AJ21" s="35" t="str">
        <f t="shared" si="2"/>
        <v>Moderado</v>
      </c>
      <c r="AK21" s="302">
        <f t="shared" si="5"/>
        <v>0.44999999999999996</v>
      </c>
      <c r="AL21" s="36" t="str">
        <f t="shared" si="6"/>
        <v>Muy Baja - Moderado</v>
      </c>
      <c r="AM21" s="37" t="s">
        <v>147</v>
      </c>
      <c r="AN21" s="154"/>
      <c r="AO21" s="99"/>
      <c r="AP21" s="303"/>
      <c r="AQ21" s="271"/>
      <c r="AR21" s="286"/>
      <c r="AS21" s="102"/>
      <c r="AT21" s="103">
        <v>46155</v>
      </c>
      <c r="AU21" s="75" t="s">
        <v>340</v>
      </c>
      <c r="AV21" s="288" t="s">
        <v>301</v>
      </c>
      <c r="AW21" s="289" t="s">
        <v>302</v>
      </c>
      <c r="AX21" s="288" t="s">
        <v>172</v>
      </c>
      <c r="AY21" s="104"/>
      <c r="AZ21" s="291" t="s">
        <v>341</v>
      </c>
      <c r="BA21" s="291" t="s">
        <v>342</v>
      </c>
    </row>
    <row r="22" spans="1:53" ht="93.75" customHeight="1" x14ac:dyDescent="0.3">
      <c r="B22" s="51"/>
      <c r="C22" s="52"/>
      <c r="D22" s="52"/>
      <c r="E22" s="52"/>
      <c r="F22" s="52"/>
      <c r="G22" s="51"/>
      <c r="H22" s="51"/>
      <c r="I22" s="53"/>
      <c r="J22" s="54"/>
      <c r="K22" s="55"/>
      <c r="L22" s="51"/>
      <c r="M22" s="53"/>
      <c r="N22" s="53"/>
      <c r="O22" s="56"/>
      <c r="P22" s="57"/>
      <c r="Q22" s="82"/>
      <c r="R22" s="22"/>
      <c r="S22" s="22"/>
      <c r="T22" s="22"/>
      <c r="U22" s="22"/>
      <c r="V22" s="22"/>
      <c r="W22" s="22"/>
      <c r="X22" s="82"/>
      <c r="Y22" s="83"/>
      <c r="Z22" s="83"/>
      <c r="AA22" s="84"/>
      <c r="AB22" s="85"/>
      <c r="AC22" s="86"/>
      <c r="AD22" s="83"/>
      <c r="AE22" s="85"/>
      <c r="AF22" s="85"/>
      <c r="AG22" s="87"/>
      <c r="AH22" s="83"/>
      <c r="AI22" s="88"/>
      <c r="AJ22" s="89"/>
      <c r="AK22" s="87"/>
      <c r="AL22" s="90"/>
      <c r="AM22" s="91"/>
      <c r="AN22" s="92"/>
      <c r="AO22" s="2"/>
      <c r="AP22" s="74"/>
      <c r="AQ22" s="74"/>
      <c r="AR22" s="74"/>
      <c r="AT22" s="45"/>
      <c r="AU22" s="46"/>
      <c r="AV22" s="47"/>
      <c r="AW22" s="48"/>
      <c r="AX22" s="49"/>
      <c r="AY22" s="27"/>
      <c r="AZ22" s="47"/>
      <c r="BA22" s="307"/>
    </row>
    <row r="23" spans="1:53" ht="20.399999999999999" x14ac:dyDescent="0.3">
      <c r="A23" s="152" t="s">
        <v>103</v>
      </c>
      <c r="B23" s="152"/>
      <c r="C23" s="152"/>
      <c r="D23" s="152"/>
      <c r="E23" s="152"/>
      <c r="F23" s="152"/>
      <c r="G23" s="152"/>
      <c r="H23" s="152"/>
      <c r="P23" s="2"/>
    </row>
    <row r="24" spans="1:53" x14ac:dyDescent="0.3">
      <c r="P24" s="2"/>
      <c r="BA24" s="308"/>
    </row>
    <row r="25" spans="1:53" x14ac:dyDescent="0.3">
      <c r="P25" s="2"/>
    </row>
    <row r="26" spans="1:53" x14ac:dyDescent="0.3">
      <c r="P26" s="2"/>
    </row>
    <row r="27" spans="1:53" x14ac:dyDescent="0.3">
      <c r="P27" s="2"/>
    </row>
    <row r="28" spans="1:53" x14ac:dyDescent="0.3">
      <c r="P28" s="2"/>
    </row>
    <row r="29" spans="1:53" x14ac:dyDescent="0.3">
      <c r="P29" s="2"/>
    </row>
    <row r="30" spans="1:53" x14ac:dyDescent="0.3">
      <c r="P30" s="2"/>
    </row>
    <row r="31" spans="1:53" x14ac:dyDescent="0.3">
      <c r="P31" s="2"/>
    </row>
  </sheetData>
  <mergeCells count="47">
    <mergeCell ref="O17:O21"/>
    <mergeCell ref="AN17:AN21"/>
    <mergeCell ref="AP17:AP21"/>
    <mergeCell ref="AQ17:AQ21"/>
    <mergeCell ref="AR17:AR21"/>
    <mergeCell ref="A23:H23"/>
    <mergeCell ref="I17:I21"/>
    <mergeCell ref="J17:J21"/>
    <mergeCell ref="K17:K21"/>
    <mergeCell ref="L17:L21"/>
    <mergeCell ref="M17:M21"/>
    <mergeCell ref="N17:N21"/>
    <mergeCell ref="AB16:AC16"/>
    <mergeCell ref="AE16:AF16"/>
    <mergeCell ref="A17:A21"/>
    <mergeCell ref="B17:B21"/>
    <mergeCell ref="C17:C21"/>
    <mergeCell ref="D17:D21"/>
    <mergeCell ref="E17:E21"/>
    <mergeCell ref="F17:F21"/>
    <mergeCell ref="G17:G21"/>
    <mergeCell ref="H17:H21"/>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22">
    <cfRule type="cellIs" dxfId="343" priority="24" operator="equal">
      <formula>"Muy Alta"</formula>
    </cfRule>
    <cfRule type="cellIs" dxfId="342" priority="25" operator="equal">
      <formula>"Alta"</formula>
    </cfRule>
    <cfRule type="cellIs" dxfId="341" priority="26" operator="equal">
      <formula>"Media"</formula>
    </cfRule>
    <cfRule type="cellIs" dxfId="340" priority="27" operator="equal">
      <formula>"Muy Baja"</formula>
    </cfRule>
    <cfRule type="cellIs" dxfId="339" priority="28" operator="equal">
      <formula>"Baja"</formula>
    </cfRule>
  </conditionalFormatting>
  <conditionalFormatting sqref="L17:L22">
    <cfRule type="cellIs" dxfId="338" priority="19" operator="equal">
      <formula>"Leve"</formula>
    </cfRule>
    <cfRule type="cellIs" dxfId="337" priority="20" operator="equal">
      <formula>"Catastrófico"</formula>
    </cfRule>
    <cfRule type="cellIs" dxfId="336" priority="21" operator="equal">
      <formula>"Mayor"</formula>
    </cfRule>
    <cfRule type="cellIs" dxfId="335" priority="22" operator="equal">
      <formula>"Moderado"</formula>
    </cfRule>
    <cfRule type="cellIs" dxfId="334" priority="23" operator="equal">
      <formula>"Menor"</formula>
    </cfRule>
  </conditionalFormatting>
  <conditionalFormatting sqref="O17:O22">
    <cfRule type="cellIs" dxfId="333" priority="15" operator="equal">
      <formula>"EXTREMO"</formula>
    </cfRule>
    <cfRule type="cellIs" dxfId="332" priority="16" operator="equal">
      <formula>"ALTO"</formula>
    </cfRule>
    <cfRule type="cellIs" dxfId="331" priority="17" operator="equal">
      <formula>"BAJO"</formula>
    </cfRule>
    <cfRule type="cellIs" dxfId="330" priority="18" operator="equal">
      <formula>"MODERADO"</formula>
    </cfRule>
  </conditionalFormatting>
  <conditionalFormatting sqref="AH17:AH22">
    <cfRule type="cellIs" dxfId="329" priority="6" operator="equal">
      <formula>"Muy Baja"</formula>
    </cfRule>
    <cfRule type="cellIs" dxfId="328" priority="7" operator="equal">
      <formula>"Baja"</formula>
    </cfRule>
    <cfRule type="cellIs" dxfId="327" priority="8" operator="equal">
      <formula>"Media"</formula>
    </cfRule>
    <cfRule type="cellIs" dxfId="326" priority="9" operator="equal">
      <formula>"Muy Alta"</formula>
    </cfRule>
    <cfRule type="cellIs" dxfId="325" priority="10" operator="equal">
      <formula>"Alta"</formula>
    </cfRule>
  </conditionalFormatting>
  <conditionalFormatting sqref="AJ17:AJ22">
    <cfRule type="cellIs" dxfId="324" priority="1" operator="equal">
      <formula>"Catastrófico"</formula>
    </cfRule>
    <cfRule type="cellIs" dxfId="323" priority="2" operator="equal">
      <formula>"Mayor"</formula>
    </cfRule>
    <cfRule type="cellIs" dxfId="322" priority="3" operator="equal">
      <formula>"Moderado"</formula>
    </cfRule>
    <cfRule type="cellIs" dxfId="321" priority="4" operator="equal">
      <formula>"Menor"</formula>
    </cfRule>
    <cfRule type="cellIs" dxfId="320" priority="5" operator="equal">
      <formula>"Leve"</formula>
    </cfRule>
  </conditionalFormatting>
  <conditionalFormatting sqref="AM17:AM22">
    <cfRule type="cellIs" dxfId="319" priority="11" operator="equal">
      <formula>"EXTREMO"</formula>
    </cfRule>
    <cfRule type="cellIs" dxfId="318" priority="12" operator="equal">
      <formula>"ALTO"</formula>
    </cfRule>
    <cfRule type="cellIs" dxfId="317" priority="13" operator="equal">
      <formula>"BAJO"</formula>
    </cfRule>
    <cfRule type="cellIs" dxfId="316" priority="14" operator="equal">
      <formula>"MODERADO"</formula>
    </cfRule>
  </conditionalFormatting>
  <hyperlinks>
    <hyperlink ref="A14:O15" location="Instructivo!A1" display="IDENTIFICACIÓN DEL RIESGO" xr:uid="{0D91DD62-C37B-4551-BC28-B03C6830598C}"/>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10B51-234B-473F-8875-0732D7554946}">
  <sheetPr>
    <tabColor theme="0"/>
    <pageSetUpPr fitToPage="1"/>
  </sheetPr>
  <dimension ref="A1:BA27"/>
  <sheetViews>
    <sheetView showGridLines="0" view="pageBreakPreview" topLeftCell="AV1" zoomScale="60" zoomScaleNormal="60" workbookViewId="0">
      <selection activeCell="BA16" sqref="BA16"/>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88671875" customWidth="1"/>
    <col min="12" max="12" width="20.109375"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23" width="46.6640625" style="1" customWidth="1"/>
    <col min="24" max="24" width="15.88671875" style="1" customWidth="1"/>
    <col min="25" max="27" width="10.33203125" style="1" customWidth="1"/>
    <col min="28" max="28" width="6" style="1" customWidth="1"/>
    <col min="29" max="29" width="13.6640625" style="1" customWidth="1"/>
    <col min="30" max="30" width="7.5546875" style="1" customWidth="1"/>
    <col min="31" max="31" width="5.6640625" style="1" customWidth="1"/>
    <col min="32" max="32" width="17"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5546875" style="4" customWidth="1"/>
    <col min="41" max="41" width="1" style="4" customWidth="1"/>
    <col min="42" max="42" width="26.88671875" style="4" customWidth="1"/>
    <col min="43" max="43" width="26.6640625" style="1" customWidth="1"/>
    <col min="44" max="44" width="20.88671875" style="1" customWidth="1"/>
    <col min="45" max="45" width="1" customWidth="1"/>
    <col min="46" max="46" width="18.33203125" customWidth="1"/>
    <col min="47" max="50" width="45" customWidth="1"/>
    <col min="51" max="51" width="1" customWidth="1"/>
    <col min="52" max="53" width="4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283</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399999999999999"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343</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45909</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29" t="s">
        <v>285</v>
      </c>
      <c r="E10" s="230"/>
      <c r="F10" s="230"/>
      <c r="G10" s="230"/>
      <c r="H10" s="230"/>
      <c r="I10" s="230"/>
      <c r="J10" s="230"/>
      <c r="K10" s="230"/>
      <c r="L10" s="230"/>
      <c r="M10" s="231"/>
      <c r="N10" s="21"/>
      <c r="AN10" s="1"/>
      <c r="AO10" s="1"/>
      <c r="AP10" s="1"/>
    </row>
    <row r="11" spans="1:53" s="3" customFormat="1" ht="75" customHeight="1" x14ac:dyDescent="0.3">
      <c r="A11" s="194" t="s">
        <v>11</v>
      </c>
      <c r="B11" s="194"/>
      <c r="C11" s="194"/>
      <c r="D11" s="275" t="s">
        <v>286</v>
      </c>
      <c r="E11" s="276"/>
      <c r="F11" s="276"/>
      <c r="G11" s="276"/>
      <c r="H11" s="276"/>
      <c r="I11" s="276"/>
      <c r="J11" s="276"/>
      <c r="K11" s="276"/>
      <c r="L11" s="276"/>
      <c r="M11" s="277"/>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94" t="s">
        <v>13</v>
      </c>
      <c r="B12" s="194"/>
      <c r="C12" s="194"/>
      <c r="D12" s="233" t="s">
        <v>287</v>
      </c>
      <c r="E12" s="234"/>
      <c r="F12" s="234"/>
      <c r="G12" s="234"/>
      <c r="H12" s="234"/>
      <c r="I12" s="234"/>
      <c r="J12" s="234"/>
      <c r="K12" s="234"/>
      <c r="L12" s="234"/>
      <c r="M12" s="235"/>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66" t="s">
        <v>15</v>
      </c>
      <c r="B14" s="167"/>
      <c r="C14" s="167"/>
      <c r="D14" s="167"/>
      <c r="E14" s="167"/>
      <c r="F14" s="167"/>
      <c r="G14" s="167"/>
      <c r="H14" s="167"/>
      <c r="I14" s="167"/>
      <c r="J14" s="167"/>
      <c r="K14" s="167"/>
      <c r="L14" s="167"/>
      <c r="M14" s="167"/>
      <c r="N14" s="168"/>
      <c r="O14" s="169"/>
      <c r="P14" s="2"/>
      <c r="Q14" s="174" t="s">
        <v>16</v>
      </c>
      <c r="R14" s="175"/>
      <c r="S14" s="175"/>
      <c r="T14" s="175"/>
      <c r="U14" s="175"/>
      <c r="V14" s="175"/>
      <c r="W14" s="175"/>
      <c r="X14" s="175"/>
      <c r="Y14" s="176"/>
      <c r="Z14" s="176"/>
      <c r="AA14" s="176"/>
      <c r="AB14" s="176"/>
      <c r="AC14" s="176"/>
      <c r="AD14" s="176"/>
      <c r="AE14" s="176"/>
      <c r="AF14" s="175"/>
      <c r="AG14" s="175"/>
      <c r="AH14" s="175"/>
      <c r="AI14" s="175"/>
      <c r="AJ14" s="175"/>
      <c r="AK14" s="175"/>
      <c r="AL14" s="175"/>
      <c r="AM14" s="175"/>
      <c r="AN14" s="177"/>
      <c r="AO14" s="2"/>
      <c r="AP14" s="178" t="s">
        <v>17</v>
      </c>
      <c r="AQ14" s="179"/>
      <c r="AR14" s="180"/>
      <c r="AT14" s="184" t="s">
        <v>18</v>
      </c>
      <c r="AU14" s="185"/>
      <c r="AV14" s="185"/>
      <c r="AW14" s="185"/>
      <c r="AX14" s="186"/>
      <c r="AY14" s="27"/>
      <c r="AZ14" s="178" t="s">
        <v>19</v>
      </c>
      <c r="BA14" s="180"/>
    </row>
    <row r="15" spans="1:53" x14ac:dyDescent="0.3">
      <c r="A15" s="170"/>
      <c r="B15" s="171"/>
      <c r="C15" s="171"/>
      <c r="D15" s="171"/>
      <c r="E15" s="171"/>
      <c r="F15" s="171"/>
      <c r="G15" s="171"/>
      <c r="H15" s="171"/>
      <c r="I15" s="171"/>
      <c r="J15" s="171"/>
      <c r="K15" s="171"/>
      <c r="L15" s="171"/>
      <c r="M15" s="171"/>
      <c r="N15" s="172"/>
      <c r="O15" s="173"/>
      <c r="P15" s="2"/>
      <c r="Q15" s="23"/>
      <c r="R15" s="24"/>
      <c r="S15" s="24"/>
      <c r="T15" s="24"/>
      <c r="U15" s="24"/>
      <c r="V15" s="24"/>
      <c r="W15" s="24"/>
      <c r="X15" s="24"/>
      <c r="Y15" s="189" t="s">
        <v>20</v>
      </c>
      <c r="Z15" s="190"/>
      <c r="AA15" s="191"/>
      <c r="AB15" s="189" t="s">
        <v>21</v>
      </c>
      <c r="AC15" s="190"/>
      <c r="AD15" s="190"/>
      <c r="AE15" s="190"/>
      <c r="AF15" s="191"/>
      <c r="AG15" s="192"/>
      <c r="AH15" s="192"/>
      <c r="AI15" s="192"/>
      <c r="AJ15" s="192"/>
      <c r="AK15" s="192"/>
      <c r="AL15" s="192"/>
      <c r="AM15" s="192"/>
      <c r="AN15" s="193"/>
      <c r="AO15" s="2"/>
      <c r="AP15" s="181"/>
      <c r="AQ15" s="182"/>
      <c r="AR15" s="183"/>
      <c r="AT15" s="187"/>
      <c r="AU15" s="182"/>
      <c r="AV15" s="182"/>
      <c r="AW15" s="182"/>
      <c r="AX15" s="188"/>
      <c r="AY15" s="27"/>
      <c r="AZ15" s="181"/>
      <c r="BA15" s="183"/>
    </row>
    <row r="16" spans="1:53" s="5" customFormat="1" ht="166.5" customHeight="1" x14ac:dyDescent="0.3">
      <c r="A16" s="9" t="s">
        <v>22</v>
      </c>
      <c r="B16" s="10" t="s">
        <v>23</v>
      </c>
      <c r="C16" s="11" t="s">
        <v>24</v>
      </c>
      <c r="D16" s="11" t="s">
        <v>25</v>
      </c>
      <c r="E16" s="12" t="s">
        <v>26</v>
      </c>
      <c r="F16" s="19" t="s">
        <v>27</v>
      </c>
      <c r="G16" s="29" t="s">
        <v>28</v>
      </c>
      <c r="H16" s="12" t="s">
        <v>29</v>
      </c>
      <c r="I16" s="11" t="s">
        <v>30</v>
      </c>
      <c r="J16" s="11" t="s">
        <v>31</v>
      </c>
      <c r="K16" s="12" t="s">
        <v>32</v>
      </c>
      <c r="L16" s="12" t="s">
        <v>33</v>
      </c>
      <c r="M16" s="11" t="s">
        <v>30</v>
      </c>
      <c r="N16" s="11" t="s">
        <v>34</v>
      </c>
      <c r="O16" s="13" t="s">
        <v>35</v>
      </c>
      <c r="P16" s="2"/>
      <c r="Q16" s="14" t="s">
        <v>36</v>
      </c>
      <c r="R16" s="95" t="s">
        <v>37</v>
      </c>
      <c r="S16" s="95" t="s">
        <v>38</v>
      </c>
      <c r="T16" s="95" t="s">
        <v>39</v>
      </c>
      <c r="U16" s="95" t="s">
        <v>40</v>
      </c>
      <c r="V16" s="95" t="s">
        <v>41</v>
      </c>
      <c r="W16" s="95" t="s">
        <v>42</v>
      </c>
      <c r="X16" s="25" t="s">
        <v>43</v>
      </c>
      <c r="Y16" s="44" t="s">
        <v>44</v>
      </c>
      <c r="Z16" s="44" t="s">
        <v>45</v>
      </c>
      <c r="AA16" s="16" t="s">
        <v>46</v>
      </c>
      <c r="AB16" s="161" t="s">
        <v>47</v>
      </c>
      <c r="AC16" s="162"/>
      <c r="AD16" s="16" t="s">
        <v>48</v>
      </c>
      <c r="AE16" s="161" t="s">
        <v>49</v>
      </c>
      <c r="AF16" s="162"/>
      <c r="AG16" s="17" t="s">
        <v>50</v>
      </c>
      <c r="AH16" s="17" t="s">
        <v>51</v>
      </c>
      <c r="AI16" s="17" t="s">
        <v>30</v>
      </c>
      <c r="AJ16" s="17" t="s">
        <v>52</v>
      </c>
      <c r="AK16" s="17" t="s">
        <v>30</v>
      </c>
      <c r="AL16" s="17" t="s">
        <v>34</v>
      </c>
      <c r="AM16" s="17" t="s">
        <v>53</v>
      </c>
      <c r="AN16" s="13" t="s">
        <v>54</v>
      </c>
      <c r="AO16" s="2"/>
      <c r="AP16" s="18" t="s">
        <v>55</v>
      </c>
      <c r="AQ16" s="15" t="s">
        <v>56</v>
      </c>
      <c r="AR16" s="26" t="s">
        <v>57</v>
      </c>
      <c r="AT16" s="40" t="s">
        <v>58</v>
      </c>
      <c r="AU16" s="42" t="s">
        <v>59</v>
      </c>
      <c r="AV16" s="42" t="s">
        <v>60</v>
      </c>
      <c r="AW16" s="42" t="s">
        <v>61</v>
      </c>
      <c r="AX16" s="41" t="s">
        <v>62</v>
      </c>
      <c r="AY16" s="28"/>
      <c r="AZ16" s="43" t="s">
        <v>63</v>
      </c>
      <c r="BA16" s="96" t="s">
        <v>64</v>
      </c>
    </row>
    <row r="17" spans="1:53" s="5" customFormat="1" ht="353.25" customHeight="1" x14ac:dyDescent="0.3">
      <c r="A17" s="72">
        <v>2</v>
      </c>
      <c r="B17" s="309" t="s">
        <v>146</v>
      </c>
      <c r="C17" s="105" t="s">
        <v>344</v>
      </c>
      <c r="D17" s="105" t="s">
        <v>345</v>
      </c>
      <c r="E17" s="105" t="s">
        <v>346</v>
      </c>
      <c r="F17" s="105"/>
      <c r="G17" s="93">
        <v>7</v>
      </c>
      <c r="H17" s="106" t="str">
        <f>IF(G17&lt;=0,"",IF(G17&lt;=2,"Muy Baja",IF(G17&lt;=24,"Baja",IF(G17&lt;=500,"Media",IF(G17&lt;=5000,"Alta","Muy Alta")))))</f>
        <v>Baja</v>
      </c>
      <c r="I17" s="107">
        <f>IF(H17="","",IF(H17="Muy Baja",0.2,IF(H17="Baja",0.4,IF(H17="Media",0.6,IF(H17="Alta",0.8,IF(H17="Muy Alta",1,))))))</f>
        <v>0.4</v>
      </c>
      <c r="J17" s="108" t="s">
        <v>69</v>
      </c>
      <c r="K17" s="310" t="str">
        <f>+J17</f>
        <v>El riesgo afecta la imagen de algún área de la organización.</v>
      </c>
      <c r="L17" s="106" t="str">
        <f>+VLOOKUP(K17,[2]Datos!$O$4:$P$15,2,FALSE)</f>
        <v>Leve</v>
      </c>
      <c r="M17" s="107">
        <f>IF(L17="","",IF(L17="Leve",0.2,IF(L17="Menor",0.4,IF(L17="Moderado",0.6,IF(L17="Mayor",0.8,IF(L17="Catastrófico",1,))))))</f>
        <v>0.2</v>
      </c>
      <c r="N17" s="107" t="str">
        <f>+CONCATENATE(H17, " - ", L17)</f>
        <v>Baja - Leve</v>
      </c>
      <c r="O17" s="98" t="str">
        <f>+VLOOKUP(N17,[2]Datos!J4:K28,2,)</f>
        <v>BAJO</v>
      </c>
      <c r="P17" s="100"/>
      <c r="Q17" s="100">
        <v>1</v>
      </c>
      <c r="R17" s="75" t="s">
        <v>347</v>
      </c>
      <c r="S17" s="75" t="s">
        <v>348</v>
      </c>
      <c r="T17" s="75" t="s">
        <v>349</v>
      </c>
      <c r="U17" s="75" t="s">
        <v>350</v>
      </c>
      <c r="V17" s="75" t="s">
        <v>351</v>
      </c>
      <c r="W17" s="75" t="s">
        <v>352</v>
      </c>
      <c r="X17" s="30" t="str">
        <f>IF(OR(Y17="Preventivo",Y17="Detectivo"),"Probabilidad",IF(Y17="Correctivo","Impacto",""))</f>
        <v>Probabilidad</v>
      </c>
      <c r="Y17" s="6" t="s">
        <v>98</v>
      </c>
      <c r="Z17" s="6" t="s">
        <v>77</v>
      </c>
      <c r="AA17" s="31" t="str">
        <f t="shared" ref="AA17" si="0">IF(AND(Y17="Preventivo",Z17="Automático"),"50%",IF(AND(Y17="Preventivo",Z17="Manual"),"40%",IF(AND(Y17="Detectivo",Z17="Automático"),"40%",IF(AND(Y17="Detectivo",Z17="Manual"),"30%",IF(AND(Y17="Correctivo",Z17="Automático"),"35%",IF(AND(Y17="Correctivo",Z17="Manual"),"25%",""))))))</f>
        <v>30%</v>
      </c>
      <c r="AB17" s="242" t="s">
        <v>78</v>
      </c>
      <c r="AC17" s="8" t="s">
        <v>353</v>
      </c>
      <c r="AD17" s="6" t="s">
        <v>99</v>
      </c>
      <c r="AE17" s="8" t="s">
        <v>81</v>
      </c>
      <c r="AF17" s="8" t="s">
        <v>354</v>
      </c>
      <c r="AG17" s="32">
        <f>IFERROR(IF(X17="Probabilidad",(I17-(+I17*AA17)),IF(X17="Impacto",I17,"")),"")</f>
        <v>0.28000000000000003</v>
      </c>
      <c r="AH17" s="33" t="str">
        <f t="shared" ref="AH17" si="1">IFERROR(IF(AG17="","",IF(AG17&lt;=0.2,"Muy Baja",IF(AG17&lt;=0.4,"Baja",IF(AG17&lt;=0.6,"Media",IF(AG17&lt;=0.8,"Alta","Muy Alta"))))),"")</f>
        <v>Baja</v>
      </c>
      <c r="AI17" s="34">
        <f>I17-(AA17*I17)</f>
        <v>0.28000000000000003</v>
      </c>
      <c r="AJ17" s="35" t="str">
        <f t="shared" ref="AJ17" si="2">IFERROR(IF(AK17="","",IF(AK17&lt;=0.2,"Leve",IF(AK17&lt;=0.4,"Menor",IF(AK17&lt;=0.6,"Moderado",IF(AK17&lt;=0.8,"Mayor","Catastrófico"))))),"")</f>
        <v>Leve</v>
      </c>
      <c r="AK17" s="32">
        <f>IFERROR(IF(X17="Impacto",(M17-(+M17*AA17)),IF(X17="Probabilidad",M17,"")),"")</f>
        <v>0.2</v>
      </c>
      <c r="AL17" s="36" t="str">
        <f>+CONCATENATE(AH17, " - ", AJ17)</f>
        <v>Baja - Leve</v>
      </c>
      <c r="AM17" s="33" t="str">
        <f>+VLOOKUP(AL17,[2]Datos!$J$4:$K$28,2,)</f>
        <v>BAJO</v>
      </c>
      <c r="AN17" s="101" t="s">
        <v>82</v>
      </c>
      <c r="AO17" s="100"/>
      <c r="AP17" s="75" t="s">
        <v>355</v>
      </c>
      <c r="AQ17" s="311" t="s">
        <v>299</v>
      </c>
      <c r="AR17" s="148">
        <v>46387</v>
      </c>
      <c r="AS17" s="123"/>
      <c r="AT17" s="103">
        <v>46155</v>
      </c>
      <c r="AU17" s="75" t="s">
        <v>356</v>
      </c>
      <c r="AV17" s="75" t="s">
        <v>357</v>
      </c>
      <c r="AW17" s="312" t="s">
        <v>302</v>
      </c>
      <c r="AX17" s="246" t="s">
        <v>172</v>
      </c>
      <c r="AY17" s="313"/>
      <c r="AZ17" s="314" t="s">
        <v>358</v>
      </c>
      <c r="BA17" s="315" t="s">
        <v>359</v>
      </c>
    </row>
    <row r="18" spans="1:53" ht="93.75" customHeight="1" x14ac:dyDescent="0.3">
      <c r="B18" s="76"/>
      <c r="C18" s="77"/>
      <c r="D18" s="77"/>
      <c r="E18" s="77"/>
      <c r="F18" s="77"/>
      <c r="G18" s="76"/>
      <c r="H18" s="76"/>
      <c r="I18" s="78"/>
      <c r="J18" s="79"/>
      <c r="K18" s="80"/>
      <c r="L18" s="76"/>
      <c r="M18" s="78"/>
      <c r="N18" s="78"/>
      <c r="O18" s="81"/>
      <c r="P18" s="2"/>
      <c r="Q18" s="82"/>
      <c r="R18" s="22"/>
      <c r="S18" s="22"/>
      <c r="T18" s="22"/>
      <c r="U18" s="22"/>
      <c r="V18" s="22"/>
      <c r="W18" s="22"/>
      <c r="X18" s="82"/>
      <c r="Y18" s="83"/>
      <c r="Z18" s="83"/>
      <c r="AA18" s="84"/>
      <c r="AB18" s="85"/>
      <c r="AC18" s="86"/>
      <c r="AD18" s="83"/>
      <c r="AE18" s="85"/>
      <c r="AF18" s="85"/>
      <c r="AG18" s="87"/>
      <c r="AH18" s="83"/>
      <c r="AI18" s="88"/>
      <c r="AJ18" s="89"/>
      <c r="AK18" s="87"/>
      <c r="AL18" s="90"/>
      <c r="AM18" s="91"/>
      <c r="AN18" s="92"/>
      <c r="AO18" s="2"/>
      <c r="AP18" s="74"/>
      <c r="AQ18" s="74"/>
      <c r="AR18" s="74"/>
      <c r="AT18" s="45"/>
      <c r="AU18" s="46"/>
      <c r="AV18" s="47"/>
      <c r="AW18" s="48"/>
      <c r="AX18" s="49"/>
      <c r="AY18" s="27"/>
      <c r="AZ18" s="47"/>
      <c r="BA18" s="50"/>
    </row>
    <row r="19" spans="1:53" ht="20.399999999999999" x14ac:dyDescent="0.3">
      <c r="A19" s="152" t="s">
        <v>103</v>
      </c>
      <c r="B19" s="152"/>
      <c r="C19" s="152"/>
      <c r="D19" s="152"/>
      <c r="E19" s="152"/>
      <c r="F19" s="152"/>
      <c r="G19" s="152"/>
      <c r="H19" s="152"/>
      <c r="P19" s="2"/>
      <c r="BA19" s="39" t="s">
        <v>104</v>
      </c>
    </row>
    <row r="20" spans="1:53" x14ac:dyDescent="0.3">
      <c r="P20" s="2"/>
    </row>
    <row r="21" spans="1:53" s="1" customFormat="1" x14ac:dyDescent="0.3">
      <c r="A21"/>
      <c r="B21"/>
      <c r="C21"/>
      <c r="D21"/>
      <c r="E21"/>
      <c r="F21"/>
      <c r="G21"/>
      <c r="H21"/>
      <c r="I21"/>
      <c r="J21"/>
      <c r="K21"/>
      <c r="P21" s="2"/>
      <c r="AN21" s="4"/>
      <c r="AO21" s="4"/>
      <c r="AP21" s="4"/>
      <c r="AS21"/>
      <c r="AT21"/>
      <c r="AU21"/>
      <c r="AV21"/>
      <c r="AW21"/>
      <c r="AX21"/>
      <c r="AY21"/>
      <c r="AZ21"/>
      <c r="BA21"/>
    </row>
    <row r="22" spans="1:53" s="1" customFormat="1" x14ac:dyDescent="0.3">
      <c r="A22"/>
      <c r="B22"/>
      <c r="C22"/>
      <c r="D22"/>
      <c r="E22"/>
      <c r="F22"/>
      <c r="G22"/>
      <c r="H22"/>
      <c r="I22"/>
      <c r="J22"/>
      <c r="K22"/>
      <c r="P22" s="2"/>
      <c r="AN22" s="4"/>
      <c r="AO22" s="4"/>
      <c r="AP22" s="4"/>
      <c r="AS22"/>
      <c r="AT22"/>
      <c r="AU22"/>
      <c r="AV22"/>
      <c r="AW22"/>
      <c r="AX22"/>
      <c r="AY22"/>
      <c r="AZ22"/>
      <c r="BA22"/>
    </row>
    <row r="23" spans="1:53" s="1" customFormat="1" x14ac:dyDescent="0.3">
      <c r="A23"/>
      <c r="B23"/>
      <c r="C23"/>
      <c r="D23"/>
      <c r="E23"/>
      <c r="F23"/>
      <c r="G23"/>
      <c r="H23"/>
      <c r="I23"/>
      <c r="J23"/>
      <c r="K23"/>
      <c r="P23" s="2"/>
      <c r="AN23" s="4"/>
      <c r="AO23" s="4"/>
      <c r="AP23" s="4"/>
      <c r="AS23"/>
      <c r="AT23"/>
      <c r="AU23"/>
      <c r="AV23"/>
      <c r="AW23"/>
      <c r="AX23"/>
      <c r="AY23"/>
      <c r="AZ23"/>
      <c r="BA23"/>
    </row>
    <row r="24" spans="1:53" s="1" customFormat="1" x14ac:dyDescent="0.3">
      <c r="A24"/>
      <c r="B24"/>
      <c r="C24"/>
      <c r="D24"/>
      <c r="E24"/>
      <c r="F24"/>
      <c r="G24"/>
      <c r="H24"/>
      <c r="I24"/>
      <c r="J24"/>
      <c r="K24"/>
      <c r="P24" s="2"/>
      <c r="AN24" s="4"/>
      <c r="AO24" s="4"/>
      <c r="AP24" s="4"/>
      <c r="AS24"/>
      <c r="AT24"/>
      <c r="AU24"/>
      <c r="AV24"/>
      <c r="AW24"/>
      <c r="AX24"/>
      <c r="AY24"/>
      <c r="AZ24"/>
      <c r="BA24"/>
    </row>
    <row r="25" spans="1:53" s="1" customFormat="1" x14ac:dyDescent="0.3">
      <c r="A25"/>
      <c r="B25"/>
      <c r="C25"/>
      <c r="D25"/>
      <c r="E25"/>
      <c r="F25"/>
      <c r="G25"/>
      <c r="H25"/>
      <c r="I25"/>
      <c r="J25"/>
      <c r="K25"/>
      <c r="P25" s="2"/>
      <c r="AN25" s="4"/>
      <c r="AO25" s="4"/>
      <c r="AP25" s="4"/>
      <c r="AS25"/>
      <c r="AT25"/>
      <c r="AU25"/>
      <c r="AV25"/>
      <c r="AW25"/>
      <c r="AX25"/>
      <c r="AY25"/>
      <c r="AZ25"/>
      <c r="BA25"/>
    </row>
    <row r="26" spans="1:53" s="1" customFormat="1" x14ac:dyDescent="0.3">
      <c r="A26"/>
      <c r="B26"/>
      <c r="C26"/>
      <c r="D26"/>
      <c r="E26"/>
      <c r="F26"/>
      <c r="G26"/>
      <c r="H26"/>
      <c r="I26"/>
      <c r="J26"/>
      <c r="K26"/>
      <c r="P26" s="2"/>
      <c r="AN26" s="4"/>
      <c r="AO26" s="4"/>
      <c r="AP26" s="4"/>
      <c r="AS26"/>
      <c r="AT26"/>
      <c r="AU26"/>
      <c r="AV26"/>
      <c r="AW26"/>
      <c r="AX26"/>
      <c r="AY26"/>
      <c r="AZ26"/>
      <c r="BA26"/>
    </row>
    <row r="27" spans="1:53" s="1" customFormat="1" x14ac:dyDescent="0.3">
      <c r="A27"/>
      <c r="B27"/>
      <c r="C27"/>
      <c r="D27"/>
      <c r="E27"/>
      <c r="F27"/>
      <c r="G27"/>
      <c r="H27"/>
      <c r="I27"/>
      <c r="J27"/>
      <c r="K27"/>
      <c r="P27" s="2"/>
      <c r="AN27" s="4"/>
      <c r="AO27" s="4"/>
      <c r="AP27" s="4"/>
      <c r="AS27"/>
      <c r="AT27"/>
      <c r="AU27"/>
      <c r="AV27"/>
      <c r="AW27"/>
      <c r="AX27"/>
      <c r="AY27"/>
      <c r="AZ27"/>
      <c r="BA27"/>
    </row>
  </sheetData>
  <mergeCells count="28">
    <mergeCell ref="AB16:AC16"/>
    <mergeCell ref="AE16:AF16"/>
    <mergeCell ref="A19:H19"/>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18">
    <cfRule type="cellIs" dxfId="315" priority="20" operator="equal">
      <formula>"Muy Alta"</formula>
    </cfRule>
    <cfRule type="cellIs" dxfId="314" priority="21" operator="equal">
      <formula>"Alta"</formula>
    </cfRule>
    <cfRule type="cellIs" dxfId="313" priority="22" operator="equal">
      <formula>"Media"</formula>
    </cfRule>
    <cfRule type="cellIs" dxfId="312" priority="23" operator="equal">
      <formula>"Muy Baja"</formula>
    </cfRule>
    <cfRule type="cellIs" dxfId="311" priority="24" operator="equal">
      <formula>"Baja"</formula>
    </cfRule>
  </conditionalFormatting>
  <conditionalFormatting sqref="L17:L18">
    <cfRule type="cellIs" dxfId="310" priority="15" operator="equal">
      <formula>"Leve"</formula>
    </cfRule>
    <cfRule type="cellIs" dxfId="309" priority="16" operator="equal">
      <formula>"Catastrófico"</formula>
    </cfRule>
    <cfRule type="cellIs" dxfId="308" priority="17" operator="equal">
      <formula>"Mayor"</formula>
    </cfRule>
    <cfRule type="cellIs" dxfId="307" priority="18" operator="equal">
      <formula>"Moderado"</formula>
    </cfRule>
    <cfRule type="cellIs" dxfId="306" priority="19" operator="equal">
      <formula>"Menor"</formula>
    </cfRule>
  </conditionalFormatting>
  <conditionalFormatting sqref="O17:O18 AM17:AM18">
    <cfRule type="cellIs" dxfId="305" priority="11" operator="equal">
      <formula>"EXTREMO"</formula>
    </cfRule>
    <cfRule type="cellIs" dxfId="304" priority="12" operator="equal">
      <formula>"ALTO"</formula>
    </cfRule>
    <cfRule type="cellIs" dxfId="303" priority="13" operator="equal">
      <formula>"BAJO"</formula>
    </cfRule>
    <cfRule type="cellIs" dxfId="302" priority="14" operator="equal">
      <formula>"MODERADO"</formula>
    </cfRule>
  </conditionalFormatting>
  <conditionalFormatting sqref="AH17:AH18">
    <cfRule type="cellIs" dxfId="301" priority="6" operator="equal">
      <formula>"Muy Baja"</formula>
    </cfRule>
    <cfRule type="cellIs" dxfId="300" priority="7" operator="equal">
      <formula>"Baja"</formula>
    </cfRule>
    <cfRule type="cellIs" dxfId="299" priority="8" operator="equal">
      <formula>"Media"</formula>
    </cfRule>
    <cfRule type="cellIs" dxfId="298" priority="9" operator="equal">
      <formula>"Muy Alta"</formula>
    </cfRule>
    <cfRule type="cellIs" dxfId="297" priority="10" operator="equal">
      <formula>"Alta"</formula>
    </cfRule>
  </conditionalFormatting>
  <conditionalFormatting sqref="AJ17:AJ18">
    <cfRule type="cellIs" dxfId="296" priority="1" operator="equal">
      <formula>"Catastrófico"</formula>
    </cfRule>
    <cfRule type="cellIs" dxfId="295" priority="2" operator="equal">
      <formula>"Mayor"</formula>
    </cfRule>
    <cfRule type="cellIs" dxfId="294" priority="3" operator="equal">
      <formula>"Moderado"</formula>
    </cfRule>
    <cfRule type="cellIs" dxfId="293" priority="4" operator="equal">
      <formula>"Menor"</formula>
    </cfRule>
    <cfRule type="cellIs" dxfId="292" priority="5" operator="equal">
      <formula>"Leve"</formula>
    </cfRule>
  </conditionalFormatting>
  <hyperlinks>
    <hyperlink ref="A14:O15" location="Instructivo!A1" display="IDENTIFICACIÓN DEL RIESGO" xr:uid="{7920F311-504B-4127-903A-4A4BF3A1430A}"/>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70194-5203-4987-90DA-85B629D54346}">
  <sheetPr>
    <tabColor theme="0"/>
    <pageSetUpPr fitToPage="1"/>
  </sheetPr>
  <dimension ref="A1:BA33"/>
  <sheetViews>
    <sheetView showGridLines="0" view="pageBreakPreview" zoomScale="60" zoomScaleNormal="60" workbookViewId="0">
      <selection activeCell="BC11" sqref="BC11"/>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88671875" customWidth="1"/>
    <col min="12" max="12" width="20.109375"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23" width="46.6640625" style="1" customWidth="1"/>
    <col min="24" max="24" width="15.88671875" style="1" customWidth="1"/>
    <col min="25" max="27" width="10.33203125" style="1" customWidth="1"/>
    <col min="28" max="28" width="6" style="1" customWidth="1"/>
    <col min="29" max="29" width="13.6640625" style="1" customWidth="1"/>
    <col min="30" max="30" width="7.5546875" style="1" customWidth="1"/>
    <col min="31" max="31" width="5.6640625" style="1" customWidth="1"/>
    <col min="32" max="32" width="40.109375"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5546875" style="4" customWidth="1"/>
    <col min="41" max="41" width="1" style="4" customWidth="1"/>
    <col min="42" max="42" width="26.88671875" style="4" customWidth="1"/>
    <col min="43" max="43" width="26.6640625" style="1" customWidth="1"/>
    <col min="44" max="44" width="20.88671875" style="1" customWidth="1"/>
    <col min="45" max="45" width="1" customWidth="1"/>
    <col min="46" max="46" width="18.33203125" customWidth="1"/>
    <col min="47" max="50" width="45" customWidth="1"/>
    <col min="51" max="51" width="1" customWidth="1"/>
    <col min="52" max="53" width="45" customWidth="1"/>
  </cols>
  <sheetData>
    <row r="1" spans="1:53" ht="15.75" customHeight="1" x14ac:dyDescent="0.3">
      <c r="A1" s="198"/>
      <c r="B1" s="199"/>
      <c r="C1" s="204" t="s">
        <v>0</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98" t="s">
        <v>1</v>
      </c>
      <c r="AY1" s="199"/>
      <c r="AZ1" s="216" t="s">
        <v>2</v>
      </c>
      <c r="BA1" s="217"/>
    </row>
    <row r="2" spans="1:53" ht="15.75" customHeight="1" thickBot="1" x14ac:dyDescent="0.35">
      <c r="A2" s="200"/>
      <c r="B2" s="201"/>
      <c r="C2" s="207"/>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9"/>
      <c r="AX2" s="202"/>
      <c r="AY2" s="203"/>
      <c r="AZ2" s="218"/>
      <c r="BA2" s="219"/>
    </row>
    <row r="3" spans="1:53" ht="15.75" customHeight="1" x14ac:dyDescent="0.3">
      <c r="A3" s="200"/>
      <c r="B3" s="201"/>
      <c r="C3" s="207"/>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9"/>
      <c r="AX3" s="198" t="s">
        <v>3</v>
      </c>
      <c r="AY3" s="199"/>
      <c r="AZ3" s="220" t="s">
        <v>4</v>
      </c>
      <c r="BA3" s="221"/>
    </row>
    <row r="4" spans="1:53" ht="16.5" customHeight="1" thickBot="1" x14ac:dyDescent="0.35">
      <c r="A4" s="200"/>
      <c r="B4" s="201"/>
      <c r="C4" s="210"/>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2"/>
      <c r="AX4" s="202"/>
      <c r="AY4" s="203"/>
      <c r="AZ4" s="222"/>
      <c r="BA4" s="223"/>
    </row>
    <row r="5" spans="1:53" ht="20.399999999999999" customHeight="1" x14ac:dyDescent="0.3">
      <c r="A5" s="200"/>
      <c r="B5" s="201"/>
      <c r="C5" s="207" t="s">
        <v>5</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9"/>
      <c r="AX5" s="198" t="s">
        <v>6</v>
      </c>
      <c r="AY5" s="199"/>
      <c r="AZ5" s="198" t="s">
        <v>284</v>
      </c>
      <c r="BA5" s="199"/>
    </row>
    <row r="6" spans="1:53" ht="15" customHeight="1" thickBot="1" x14ac:dyDescent="0.35">
      <c r="A6" s="200"/>
      <c r="B6" s="201"/>
      <c r="C6" s="207"/>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9"/>
      <c r="AX6" s="202"/>
      <c r="AY6" s="203"/>
      <c r="AZ6" s="202"/>
      <c r="BA6" s="203"/>
    </row>
    <row r="7" spans="1:53" ht="15.75" customHeight="1" x14ac:dyDescent="0.3">
      <c r="A7" s="200"/>
      <c r="B7" s="201"/>
      <c r="C7" s="207"/>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9"/>
      <c r="AX7" s="198" t="s">
        <v>8</v>
      </c>
      <c r="AY7" s="199"/>
      <c r="AZ7" s="224">
        <v>45828</v>
      </c>
      <c r="BA7" s="217"/>
    </row>
    <row r="8" spans="1:53" ht="16.5" customHeight="1" thickBot="1" x14ac:dyDescent="0.35">
      <c r="A8" s="202"/>
      <c r="B8" s="203"/>
      <c r="C8" s="210"/>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2"/>
      <c r="AX8" s="202"/>
      <c r="AY8" s="203"/>
      <c r="AZ8" s="218"/>
      <c r="BA8" s="219"/>
    </row>
    <row r="10" spans="1:53" ht="54" customHeight="1" x14ac:dyDescent="0.3">
      <c r="A10" s="194" t="s">
        <v>9</v>
      </c>
      <c r="B10" s="194"/>
      <c r="C10" s="194"/>
      <c r="D10" s="229" t="s">
        <v>360</v>
      </c>
      <c r="E10" s="230"/>
      <c r="F10" s="230"/>
      <c r="G10" s="230"/>
      <c r="H10" s="230"/>
      <c r="I10" s="230"/>
      <c r="J10" s="230"/>
      <c r="K10" s="230"/>
      <c r="L10" s="230"/>
      <c r="M10" s="231"/>
      <c r="N10" s="21"/>
      <c r="AN10" s="1"/>
      <c r="AO10" s="1"/>
      <c r="AP10" s="1"/>
    </row>
    <row r="11" spans="1:53" s="3" customFormat="1" ht="75" customHeight="1" x14ac:dyDescent="0.3">
      <c r="A11" s="194" t="s">
        <v>11</v>
      </c>
      <c r="B11" s="194"/>
      <c r="C11" s="194"/>
      <c r="D11" s="233" t="s">
        <v>361</v>
      </c>
      <c r="E11" s="234"/>
      <c r="F11" s="234"/>
      <c r="G11" s="234"/>
      <c r="H11" s="234"/>
      <c r="I11" s="234"/>
      <c r="J11" s="234"/>
      <c r="K11" s="234"/>
      <c r="L11" s="234"/>
      <c r="M11" s="235"/>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94" t="s">
        <v>13</v>
      </c>
      <c r="B12" s="194"/>
      <c r="C12" s="194"/>
      <c r="D12" s="233" t="s">
        <v>362</v>
      </c>
      <c r="E12" s="234"/>
      <c r="F12" s="234"/>
      <c r="G12" s="234"/>
      <c r="H12" s="234"/>
      <c r="I12" s="234"/>
      <c r="J12" s="234"/>
      <c r="K12" s="234"/>
      <c r="L12" s="234"/>
      <c r="M12" s="235"/>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66" t="s">
        <v>15</v>
      </c>
      <c r="B14" s="167"/>
      <c r="C14" s="167"/>
      <c r="D14" s="167"/>
      <c r="E14" s="167"/>
      <c r="F14" s="167"/>
      <c r="G14" s="167"/>
      <c r="H14" s="167"/>
      <c r="I14" s="167"/>
      <c r="J14" s="167"/>
      <c r="K14" s="167"/>
      <c r="L14" s="167"/>
      <c r="M14" s="167"/>
      <c r="N14" s="168"/>
      <c r="O14" s="169"/>
      <c r="P14" s="2"/>
      <c r="Q14" s="174" t="s">
        <v>16</v>
      </c>
      <c r="R14" s="175"/>
      <c r="S14" s="175"/>
      <c r="T14" s="175"/>
      <c r="U14" s="175"/>
      <c r="V14" s="175"/>
      <c r="W14" s="175"/>
      <c r="X14" s="175"/>
      <c r="Y14" s="176"/>
      <c r="Z14" s="176"/>
      <c r="AA14" s="176"/>
      <c r="AB14" s="176"/>
      <c r="AC14" s="176"/>
      <c r="AD14" s="176"/>
      <c r="AE14" s="176"/>
      <c r="AF14" s="175"/>
      <c r="AG14" s="175"/>
      <c r="AH14" s="175"/>
      <c r="AI14" s="175"/>
      <c r="AJ14" s="175"/>
      <c r="AK14" s="175"/>
      <c r="AL14" s="175"/>
      <c r="AM14" s="175"/>
      <c r="AN14" s="177"/>
      <c r="AO14" s="2"/>
      <c r="AP14" s="178" t="s">
        <v>17</v>
      </c>
      <c r="AQ14" s="179"/>
      <c r="AR14" s="180"/>
      <c r="AT14" s="184" t="s">
        <v>18</v>
      </c>
      <c r="AU14" s="185"/>
      <c r="AV14" s="185"/>
      <c r="AW14" s="185"/>
      <c r="AX14" s="186"/>
      <c r="AY14" s="27"/>
      <c r="AZ14" s="178" t="s">
        <v>19</v>
      </c>
      <c r="BA14" s="180"/>
    </row>
    <row r="15" spans="1:53" x14ac:dyDescent="0.3">
      <c r="A15" s="170"/>
      <c r="B15" s="171"/>
      <c r="C15" s="171"/>
      <c r="D15" s="171"/>
      <c r="E15" s="171"/>
      <c r="F15" s="171"/>
      <c r="G15" s="171"/>
      <c r="H15" s="171"/>
      <c r="I15" s="171"/>
      <c r="J15" s="171"/>
      <c r="K15" s="171"/>
      <c r="L15" s="171"/>
      <c r="M15" s="171"/>
      <c r="N15" s="172"/>
      <c r="O15" s="173"/>
      <c r="P15" s="2"/>
      <c r="Q15" s="23"/>
      <c r="R15" s="24"/>
      <c r="S15" s="24"/>
      <c r="T15" s="24"/>
      <c r="U15" s="24"/>
      <c r="V15" s="24"/>
      <c r="W15" s="24"/>
      <c r="X15" s="24"/>
      <c r="Y15" s="189" t="s">
        <v>20</v>
      </c>
      <c r="Z15" s="190"/>
      <c r="AA15" s="191"/>
      <c r="AB15" s="189" t="s">
        <v>21</v>
      </c>
      <c r="AC15" s="190"/>
      <c r="AD15" s="190"/>
      <c r="AE15" s="190"/>
      <c r="AF15" s="191"/>
      <c r="AG15" s="192"/>
      <c r="AH15" s="192"/>
      <c r="AI15" s="192"/>
      <c r="AJ15" s="192"/>
      <c r="AK15" s="192"/>
      <c r="AL15" s="192"/>
      <c r="AM15" s="192"/>
      <c r="AN15" s="193"/>
      <c r="AO15" s="2"/>
      <c r="AP15" s="181"/>
      <c r="AQ15" s="182"/>
      <c r="AR15" s="183"/>
      <c r="AT15" s="187"/>
      <c r="AU15" s="182"/>
      <c r="AV15" s="182"/>
      <c r="AW15" s="182"/>
      <c r="AX15" s="188"/>
      <c r="AY15" s="27"/>
      <c r="AZ15" s="181"/>
      <c r="BA15" s="183"/>
    </row>
    <row r="16" spans="1:53" s="5" customFormat="1" ht="166.5" customHeight="1" thickBot="1" x14ac:dyDescent="0.35">
      <c r="A16" s="9" t="s">
        <v>22</v>
      </c>
      <c r="B16" s="10" t="s">
        <v>23</v>
      </c>
      <c r="C16" s="11" t="s">
        <v>24</v>
      </c>
      <c r="D16" s="11" t="s">
        <v>25</v>
      </c>
      <c r="E16" s="12" t="s">
        <v>26</v>
      </c>
      <c r="F16" s="19" t="s">
        <v>27</v>
      </c>
      <c r="G16" s="29" t="s">
        <v>28</v>
      </c>
      <c r="H16" s="12" t="s">
        <v>29</v>
      </c>
      <c r="I16" s="11" t="s">
        <v>30</v>
      </c>
      <c r="J16" s="11" t="s">
        <v>31</v>
      </c>
      <c r="K16" s="12" t="s">
        <v>32</v>
      </c>
      <c r="L16" s="12" t="s">
        <v>33</v>
      </c>
      <c r="M16" s="11" t="s">
        <v>30</v>
      </c>
      <c r="N16" s="11" t="s">
        <v>34</v>
      </c>
      <c r="O16" s="13" t="s">
        <v>35</v>
      </c>
      <c r="P16" s="2"/>
      <c r="Q16" s="14" t="s">
        <v>36</v>
      </c>
      <c r="R16" s="38" t="s">
        <v>37</v>
      </c>
      <c r="S16" s="38" t="s">
        <v>38</v>
      </c>
      <c r="T16" s="38" t="s">
        <v>39</v>
      </c>
      <c r="U16" s="38" t="s">
        <v>40</v>
      </c>
      <c r="V16" s="38" t="s">
        <v>41</v>
      </c>
      <c r="W16" s="38" t="s">
        <v>42</v>
      </c>
      <c r="X16" s="25" t="s">
        <v>43</v>
      </c>
      <c r="Y16" s="44" t="s">
        <v>44</v>
      </c>
      <c r="Z16" s="44" t="s">
        <v>45</v>
      </c>
      <c r="AA16" s="16" t="s">
        <v>46</v>
      </c>
      <c r="AB16" s="316" t="s">
        <v>47</v>
      </c>
      <c r="AC16" s="317"/>
      <c r="AD16" s="16" t="s">
        <v>48</v>
      </c>
      <c r="AE16" s="161" t="s">
        <v>49</v>
      </c>
      <c r="AF16" s="162"/>
      <c r="AG16" s="17" t="s">
        <v>50</v>
      </c>
      <c r="AH16" s="17" t="s">
        <v>51</v>
      </c>
      <c r="AI16" s="17" t="s">
        <v>30</v>
      </c>
      <c r="AJ16" s="17" t="s">
        <v>52</v>
      </c>
      <c r="AK16" s="17" t="s">
        <v>30</v>
      </c>
      <c r="AL16" s="17" t="s">
        <v>34</v>
      </c>
      <c r="AM16" s="17" t="s">
        <v>53</v>
      </c>
      <c r="AN16" s="13" t="s">
        <v>54</v>
      </c>
      <c r="AO16" s="2"/>
      <c r="AP16" s="18" t="s">
        <v>55</v>
      </c>
      <c r="AQ16" s="15" t="s">
        <v>56</v>
      </c>
      <c r="AR16" s="26" t="s">
        <v>57</v>
      </c>
      <c r="AT16" s="40" t="s">
        <v>58</v>
      </c>
      <c r="AU16" s="42" t="s">
        <v>59</v>
      </c>
      <c r="AV16" s="42" t="s">
        <v>60</v>
      </c>
      <c r="AW16" s="42" t="s">
        <v>61</v>
      </c>
      <c r="AX16" s="41" t="s">
        <v>62</v>
      </c>
      <c r="AY16" s="28"/>
      <c r="AZ16" s="43" t="s">
        <v>63</v>
      </c>
      <c r="BA16" s="318" t="s">
        <v>64</v>
      </c>
    </row>
    <row r="17" spans="1:53" ht="353.25" customHeight="1" x14ac:dyDescent="0.3">
      <c r="A17" s="278">
        <v>1</v>
      </c>
      <c r="B17" s="237" t="s">
        <v>65</v>
      </c>
      <c r="C17" s="165" t="s">
        <v>363</v>
      </c>
      <c r="D17" s="319" t="s">
        <v>364</v>
      </c>
      <c r="E17" s="165" t="s">
        <v>365</v>
      </c>
      <c r="F17" s="165"/>
      <c r="G17" s="295">
        <v>245</v>
      </c>
      <c r="H17" s="160" t="str">
        <f>IF(G17&lt;=0,"",IF(G17&lt;=2,"Muy Baja",IF(G17&lt;=24,"Baja",IF(G17&lt;=500,"Media",IF(G17&lt;=5000,"Alta","Muy Alta")))))</f>
        <v>Media</v>
      </c>
      <c r="I17" s="157">
        <f>IF(H17="","",IF(H17="Muy Baja",0.2,IF(H17="Baja",0.4,IF(H17="Media",0.6,IF(H17="Alta",0.8,IF(H17="Muy Alta",1,))))))</f>
        <v>0.6</v>
      </c>
      <c r="J17" s="281" t="s">
        <v>150</v>
      </c>
      <c r="K17" s="282" t="str">
        <f>+J17</f>
        <v>El riesgo afecta la imagen de la entidad con algunos usuarios de relevancia frente al logro de los objetivos.</v>
      </c>
      <c r="L17" s="160" t="str">
        <f>+VLOOKUP(K17,[3]Datos!$O$4:$P$15,2,FALSE)</f>
        <v>Moderado</v>
      </c>
      <c r="M17" s="157">
        <f>IF(L17="","",IF(L17="Leve",0.2,IF(L17="Menor",0.4,IF(L17="Moderado",0.6,IF(L17="Mayor",0.8,IF(L17="Catastrófico",1,))))))</f>
        <v>0.6</v>
      </c>
      <c r="N17" s="283" t="str">
        <f>+CONCATENATE(H17, " - ", L17)</f>
        <v>Media - Moderado</v>
      </c>
      <c r="O17" s="284" t="str">
        <f>+VLOOKUP(N17,[3]Datos!J4:K28,2,)</f>
        <v>MODERADO</v>
      </c>
      <c r="P17" s="320"/>
      <c r="Q17" s="321">
        <v>1</v>
      </c>
      <c r="R17" s="322" t="s">
        <v>366</v>
      </c>
      <c r="S17" s="323" t="s">
        <v>367</v>
      </c>
      <c r="T17" s="322" t="s">
        <v>368</v>
      </c>
      <c r="U17" s="322" t="s">
        <v>369</v>
      </c>
      <c r="V17" s="322" t="s">
        <v>370</v>
      </c>
      <c r="W17" s="322" t="s">
        <v>371</v>
      </c>
      <c r="X17" s="30" t="str">
        <f>IF(OR(Y17="Preventivo",Y17="Detectivo"),"Probabilidad",IF(Y17="Correctivo","Impacto",""))</f>
        <v>Probabilidad</v>
      </c>
      <c r="Y17" s="6" t="s">
        <v>98</v>
      </c>
      <c r="Z17" s="6" t="s">
        <v>77</v>
      </c>
      <c r="AA17" s="31" t="str">
        <f t="shared" ref="AA17:AA23" si="0">IF(AND(Y17="Preventivo",Z17="Automático"),"50%",IF(AND(Y17="Preventivo",Z17="Manual"),"40%",IF(AND(Y17="Detectivo",Z17="Automático"),"40%",IF(AND(Y17="Detectivo",Z17="Manual"),"30%",IF(AND(Y17="Correctivo",Z17="Automático"),"35%",IF(AND(Y17="Correctivo",Z17="Manual"),"25%",""))))))</f>
        <v>30%</v>
      </c>
      <c r="AB17" s="242" t="s">
        <v>78</v>
      </c>
      <c r="AC17" s="242" t="s">
        <v>372</v>
      </c>
      <c r="AD17" s="6" t="s">
        <v>99</v>
      </c>
      <c r="AE17" s="8" t="s">
        <v>81</v>
      </c>
      <c r="AF17" s="8" t="str">
        <f t="shared" ref="AF17:AF23" si="1">+W17</f>
        <v xml:space="preserve">Base de datos de CDP del aplicativo BOGDATA 
Correo electrónico (Cuando aplique) </v>
      </c>
      <c r="AG17" s="32">
        <f>IFERROR(IF(X17="Probabilidad",(I17-(+I17*AA17)),IF(X17="Impacto",I17,"")),"")</f>
        <v>0.42</v>
      </c>
      <c r="AH17" s="33" t="str">
        <f t="shared" ref="AH17:AH23" si="2">IFERROR(IF(AG17="","",IF(AG17&lt;=0.2,"Muy Baja",IF(AG17&lt;=0.4,"Baja",IF(AG17&lt;=0.6,"Media",IF(AG17&lt;=0.8,"Alta","Muy Alta"))))),"")</f>
        <v>Media</v>
      </c>
      <c r="AI17" s="34">
        <f>I17-(AA17*I17)</f>
        <v>0.42</v>
      </c>
      <c r="AJ17" s="35" t="str">
        <f t="shared" ref="AJ17:AJ23" si="3">IFERROR(IF(AK17="","",IF(AK17&lt;=0.2,"Leve",IF(AK17&lt;=0.4,"Menor",IF(AK17&lt;=0.6,"Moderado",IF(AK17&lt;=0.8,"Mayor","Catastrófico"))))),"")</f>
        <v>Moderado</v>
      </c>
      <c r="AK17" s="32">
        <f>IFERROR(IF(X17="Impacto",(M17-(+M17*AA17)),IF(X17="Probabilidad",M17,"")),"")</f>
        <v>0.6</v>
      </c>
      <c r="AL17" s="36" t="str">
        <f>+CONCATENATE(AH17, " - ", AJ17)</f>
        <v>Media - Moderado</v>
      </c>
      <c r="AM17" s="37" t="str">
        <f>+VLOOKUP(AL17,[3]Datos!$J$4:$K$28,2,)</f>
        <v>MODERADO</v>
      </c>
      <c r="AN17" s="324" t="s">
        <v>82</v>
      </c>
      <c r="AO17" s="320"/>
      <c r="AP17" s="325" t="s">
        <v>138</v>
      </c>
      <c r="AQ17" s="244"/>
      <c r="AR17" s="245"/>
      <c r="AT17" s="326">
        <v>46157</v>
      </c>
      <c r="AU17" s="327" t="s">
        <v>373</v>
      </c>
      <c r="AV17" s="327" t="s">
        <v>374</v>
      </c>
      <c r="AW17" s="327" t="s">
        <v>375</v>
      </c>
      <c r="AX17" s="328"/>
      <c r="AY17" s="28"/>
      <c r="AZ17" s="329" t="s">
        <v>376</v>
      </c>
      <c r="BA17" s="330" t="s">
        <v>377</v>
      </c>
    </row>
    <row r="18" spans="1:53" ht="353.25" customHeight="1" thickBot="1" x14ac:dyDescent="0.35">
      <c r="A18" s="292"/>
      <c r="B18" s="293"/>
      <c r="C18" s="319"/>
      <c r="D18" s="331"/>
      <c r="E18" s="319"/>
      <c r="F18" s="319"/>
      <c r="G18" s="332"/>
      <c r="H18" s="296"/>
      <c r="I18" s="283"/>
      <c r="J18" s="297"/>
      <c r="K18" s="298"/>
      <c r="L18" s="296"/>
      <c r="M18" s="283"/>
      <c r="N18" s="299"/>
      <c r="O18" s="300"/>
      <c r="P18" s="2"/>
      <c r="Q18" s="333">
        <v>2</v>
      </c>
      <c r="R18" s="127" t="s">
        <v>366</v>
      </c>
      <c r="S18" s="334" t="s">
        <v>378</v>
      </c>
      <c r="T18" s="127" t="s">
        <v>379</v>
      </c>
      <c r="U18" s="335" t="s">
        <v>380</v>
      </c>
      <c r="V18" s="335" t="s">
        <v>381</v>
      </c>
      <c r="W18" s="127" t="s">
        <v>382</v>
      </c>
      <c r="X18" s="336" t="str">
        <f t="shared" ref="X18:X23" si="4">IF(OR(Y18="Preventivo",Y18="Detectivo"),"Probabilidad",IF(Y18="Correctivo","Impacto",""))</f>
        <v>Probabilidad</v>
      </c>
      <c r="Y18" s="6" t="s">
        <v>98</v>
      </c>
      <c r="Z18" s="6" t="s">
        <v>77</v>
      </c>
      <c r="AA18" s="31" t="str">
        <f t="shared" si="0"/>
        <v>30%</v>
      </c>
      <c r="AB18" s="242" t="s">
        <v>78</v>
      </c>
      <c r="AC18" s="242" t="s">
        <v>383</v>
      </c>
      <c r="AD18" s="6" t="s">
        <v>99</v>
      </c>
      <c r="AE18" s="8" t="s">
        <v>81</v>
      </c>
      <c r="AF18" s="8" t="str">
        <f t="shared" si="1"/>
        <v xml:space="preserve">Base de datos de CRP del aplicativo Bogdata
Correo electrónico ( Cuando aplique) </v>
      </c>
      <c r="AG18" s="301">
        <f t="shared" ref="AG18:AG23" si="5">IFERROR(IF(AND(X17="Probabilidad",X18="Probabilidad"),(AI17-(+AI17*AA18)),IF(X18="Probabilidad",($I$17-(+$I$17*AA18)),IF(X18="Impacto",AI17,""))),"")</f>
        <v>0.29399999999999998</v>
      </c>
      <c r="AH18" s="33" t="str">
        <f t="shared" si="2"/>
        <v>Baja</v>
      </c>
      <c r="AI18" s="34">
        <f t="shared" ref="AI18:AI23" si="6">+AG18</f>
        <v>0.29399999999999998</v>
      </c>
      <c r="AJ18" s="35" t="str">
        <f t="shared" si="3"/>
        <v>Moderado</v>
      </c>
      <c r="AK18" s="302">
        <f t="shared" ref="AK18:AK23" si="7">IFERROR(IF(AND(X17="Impacto",X17="Impacto"),(AK17-(+AK17*AA18)),IF(X18="Impacto",($M$17-(+$M$17*AA18)),IF(X18="Probabilidad",AK17,""))),"")</f>
        <v>0.6</v>
      </c>
      <c r="AL18" s="36" t="str">
        <f t="shared" ref="AL18:AL23" si="8">+CONCATENATE(AH18, " - ", AJ18)</f>
        <v>Baja - Moderado</v>
      </c>
      <c r="AM18" s="37" t="str">
        <f>+VLOOKUP(AL18,[3]Datos!$J$4:$K$28,2,)</f>
        <v>MODERADO</v>
      </c>
      <c r="AN18" s="337"/>
      <c r="AO18" s="2"/>
      <c r="AP18" s="338"/>
      <c r="AQ18" s="339"/>
      <c r="AR18" s="340"/>
      <c r="AT18" s="326">
        <v>46157</v>
      </c>
      <c r="AU18" s="327" t="s">
        <v>384</v>
      </c>
      <c r="AV18" s="327" t="s">
        <v>385</v>
      </c>
      <c r="AW18" s="327" t="s">
        <v>375</v>
      </c>
      <c r="AX18" s="341"/>
      <c r="AY18" s="28"/>
      <c r="AZ18" s="329" t="s">
        <v>386</v>
      </c>
      <c r="BA18" s="342" t="s">
        <v>387</v>
      </c>
    </row>
    <row r="19" spans="1:53" ht="353.25" customHeight="1" thickBot="1" x14ac:dyDescent="0.35">
      <c r="A19" s="292"/>
      <c r="B19" s="293"/>
      <c r="C19" s="319"/>
      <c r="D19" s="331"/>
      <c r="E19" s="319"/>
      <c r="F19" s="319"/>
      <c r="G19" s="332"/>
      <c r="H19" s="296"/>
      <c r="I19" s="283"/>
      <c r="J19" s="297"/>
      <c r="K19" s="298"/>
      <c r="L19" s="296"/>
      <c r="M19" s="283"/>
      <c r="N19" s="299"/>
      <c r="O19" s="300"/>
      <c r="P19" s="2"/>
      <c r="Q19" s="333">
        <v>3</v>
      </c>
      <c r="R19" s="127" t="s">
        <v>388</v>
      </c>
      <c r="S19" s="343" t="s">
        <v>389</v>
      </c>
      <c r="T19" s="127" t="s">
        <v>390</v>
      </c>
      <c r="U19" s="127" t="s">
        <v>391</v>
      </c>
      <c r="V19" s="127" t="s">
        <v>392</v>
      </c>
      <c r="W19" s="311" t="s">
        <v>393</v>
      </c>
      <c r="X19" s="30" t="str">
        <f t="shared" si="4"/>
        <v>Probabilidad</v>
      </c>
      <c r="Y19" s="6" t="s">
        <v>76</v>
      </c>
      <c r="Z19" s="6" t="s">
        <v>77</v>
      </c>
      <c r="AA19" s="31" t="str">
        <f t="shared" si="0"/>
        <v>40%</v>
      </c>
      <c r="AB19" s="242" t="s">
        <v>78</v>
      </c>
      <c r="AC19" s="242" t="s">
        <v>394</v>
      </c>
      <c r="AD19" s="6" t="s">
        <v>99</v>
      </c>
      <c r="AE19" s="8" t="s">
        <v>81</v>
      </c>
      <c r="AF19" s="8" t="str">
        <f t="shared" si="1"/>
        <v>Memorando</v>
      </c>
      <c r="AG19" s="302">
        <f t="shared" si="5"/>
        <v>0.1764</v>
      </c>
      <c r="AH19" s="33" t="str">
        <f t="shared" si="2"/>
        <v>Muy Baja</v>
      </c>
      <c r="AI19" s="34">
        <f t="shared" si="6"/>
        <v>0.1764</v>
      </c>
      <c r="AJ19" s="35" t="str">
        <f t="shared" si="3"/>
        <v>Moderado</v>
      </c>
      <c r="AK19" s="302">
        <f t="shared" si="7"/>
        <v>0.6</v>
      </c>
      <c r="AL19" s="36" t="str">
        <f t="shared" si="8"/>
        <v>Muy Baja - Moderado</v>
      </c>
      <c r="AM19" s="37" t="str">
        <f>+VLOOKUP(AL19,[3]Datos!$J$4:$K$28,2,)</f>
        <v>MODERADO</v>
      </c>
      <c r="AN19" s="337"/>
      <c r="AO19" s="2"/>
      <c r="AP19" s="338"/>
      <c r="AQ19" s="339"/>
      <c r="AR19" s="340"/>
      <c r="AT19" s="326">
        <v>46157</v>
      </c>
      <c r="AU19" s="344" t="s">
        <v>395</v>
      </c>
      <c r="AV19" s="344" t="s">
        <v>396</v>
      </c>
      <c r="AW19" s="327" t="s">
        <v>375</v>
      </c>
      <c r="AX19" s="341"/>
      <c r="AY19" s="28"/>
      <c r="AZ19" s="329" t="s">
        <v>397</v>
      </c>
      <c r="BA19" s="342" t="s">
        <v>398</v>
      </c>
    </row>
    <row r="20" spans="1:53" ht="353.25" customHeight="1" thickBot="1" x14ac:dyDescent="0.35">
      <c r="A20" s="292"/>
      <c r="B20" s="293"/>
      <c r="C20" s="319"/>
      <c r="D20" s="331"/>
      <c r="E20" s="319"/>
      <c r="F20" s="319"/>
      <c r="G20" s="332"/>
      <c r="H20" s="296"/>
      <c r="I20" s="283"/>
      <c r="J20" s="297"/>
      <c r="K20" s="298"/>
      <c r="L20" s="296"/>
      <c r="M20" s="283"/>
      <c r="N20" s="299"/>
      <c r="O20" s="300"/>
      <c r="P20" s="2"/>
      <c r="Q20" s="333">
        <v>4</v>
      </c>
      <c r="R20" s="127" t="s">
        <v>399</v>
      </c>
      <c r="S20" s="334" t="s">
        <v>400</v>
      </c>
      <c r="T20" s="127" t="s">
        <v>401</v>
      </c>
      <c r="U20" s="127" t="s">
        <v>402</v>
      </c>
      <c r="V20" s="127" t="s">
        <v>403</v>
      </c>
      <c r="W20" s="127" t="s">
        <v>404</v>
      </c>
      <c r="X20" s="30" t="str">
        <f t="shared" si="4"/>
        <v>Probabilidad</v>
      </c>
      <c r="Y20" s="6" t="s">
        <v>76</v>
      </c>
      <c r="Z20" s="6" t="s">
        <v>77</v>
      </c>
      <c r="AA20" s="31" t="str">
        <f t="shared" si="0"/>
        <v>40%</v>
      </c>
      <c r="AB20" s="8" t="s">
        <v>78</v>
      </c>
      <c r="AC20" s="345" t="s">
        <v>405</v>
      </c>
      <c r="AD20" s="6" t="s">
        <v>99</v>
      </c>
      <c r="AE20" s="8" t="s">
        <v>81</v>
      </c>
      <c r="AF20" s="8" t="str">
        <f>+W20</f>
        <v>Lotes firmados en Bogdata
Formato A-GDO-FT-001 "Entrega y Recibo de Documentos en Área Productora ( Cuando aplique)</v>
      </c>
      <c r="AG20" s="302">
        <f t="shared" si="5"/>
        <v>0.10584</v>
      </c>
      <c r="AH20" s="33" t="str">
        <f t="shared" si="2"/>
        <v>Muy Baja</v>
      </c>
      <c r="AI20" s="34">
        <f t="shared" si="6"/>
        <v>0.10584</v>
      </c>
      <c r="AJ20" s="35" t="str">
        <f t="shared" si="3"/>
        <v>Moderado</v>
      </c>
      <c r="AK20" s="302">
        <f t="shared" si="7"/>
        <v>0.6</v>
      </c>
      <c r="AL20" s="36" t="str">
        <f t="shared" si="8"/>
        <v>Muy Baja - Moderado</v>
      </c>
      <c r="AM20" s="37" t="str">
        <f>+VLOOKUP(AL20,[3]Datos!$J$4:$K$28,2,)</f>
        <v>MODERADO</v>
      </c>
      <c r="AN20" s="337"/>
      <c r="AO20" s="2"/>
      <c r="AP20" s="338"/>
      <c r="AQ20" s="339"/>
      <c r="AR20" s="340"/>
      <c r="AT20" s="326">
        <v>46157</v>
      </c>
      <c r="AU20" s="344" t="s">
        <v>406</v>
      </c>
      <c r="AV20" s="346" t="s">
        <v>407</v>
      </c>
      <c r="AW20" s="327" t="s">
        <v>375</v>
      </c>
      <c r="AX20" s="341"/>
      <c r="AY20" s="28"/>
      <c r="AZ20" s="329" t="s">
        <v>408</v>
      </c>
      <c r="BA20" s="342" t="s">
        <v>409</v>
      </c>
    </row>
    <row r="21" spans="1:53" ht="353.25" customHeight="1" thickBot="1" x14ac:dyDescent="0.35">
      <c r="A21" s="292"/>
      <c r="B21" s="293"/>
      <c r="C21" s="319"/>
      <c r="D21" s="331"/>
      <c r="E21" s="319"/>
      <c r="F21" s="319"/>
      <c r="G21" s="332"/>
      <c r="H21" s="296"/>
      <c r="I21" s="283"/>
      <c r="J21" s="297"/>
      <c r="K21" s="298"/>
      <c r="L21" s="296"/>
      <c r="M21" s="283"/>
      <c r="N21" s="299"/>
      <c r="O21" s="300"/>
      <c r="P21" s="2"/>
      <c r="Q21" s="333">
        <v>5</v>
      </c>
      <c r="R21" s="127" t="s">
        <v>410</v>
      </c>
      <c r="S21" s="334" t="s">
        <v>411</v>
      </c>
      <c r="T21" s="127" t="s">
        <v>412</v>
      </c>
      <c r="U21" s="127" t="s">
        <v>413</v>
      </c>
      <c r="V21" s="127" t="s">
        <v>414</v>
      </c>
      <c r="W21" s="127" t="s">
        <v>415</v>
      </c>
      <c r="X21" s="30" t="str">
        <f t="shared" si="4"/>
        <v>Probabilidad</v>
      </c>
      <c r="Y21" s="6" t="s">
        <v>98</v>
      </c>
      <c r="Z21" s="6" t="s">
        <v>77</v>
      </c>
      <c r="AA21" s="31" t="str">
        <f t="shared" si="0"/>
        <v>30%</v>
      </c>
      <c r="AB21" s="8" t="s">
        <v>78</v>
      </c>
      <c r="AC21" s="345" t="s">
        <v>405</v>
      </c>
      <c r="AD21" s="6" t="s">
        <v>99</v>
      </c>
      <c r="AE21" s="8" t="s">
        <v>81</v>
      </c>
      <c r="AF21" s="8" t="str">
        <f t="shared" si="1"/>
        <v>Matriz control de giros
Captura de pantalla con devolución del lote ( Cuando aplique).</v>
      </c>
      <c r="AG21" s="302">
        <f t="shared" si="5"/>
        <v>7.4088000000000001E-2</v>
      </c>
      <c r="AH21" s="33" t="str">
        <f t="shared" si="2"/>
        <v>Muy Baja</v>
      </c>
      <c r="AI21" s="34">
        <f t="shared" si="6"/>
        <v>7.4088000000000001E-2</v>
      </c>
      <c r="AJ21" s="35" t="str">
        <f t="shared" si="3"/>
        <v>Moderado</v>
      </c>
      <c r="AK21" s="302">
        <f t="shared" si="7"/>
        <v>0.6</v>
      </c>
      <c r="AL21" s="36" t="str">
        <f t="shared" si="8"/>
        <v>Muy Baja - Moderado</v>
      </c>
      <c r="AM21" s="37" t="str">
        <f>+VLOOKUP(AL21,[3]Datos!$J$4:$K$28,2,)</f>
        <v>MODERADO</v>
      </c>
      <c r="AN21" s="337"/>
      <c r="AO21" s="2"/>
      <c r="AP21" s="338"/>
      <c r="AQ21" s="339"/>
      <c r="AR21" s="340"/>
      <c r="AT21" s="326">
        <v>46157</v>
      </c>
      <c r="AU21" s="344" t="s">
        <v>416</v>
      </c>
      <c r="AV21" s="346" t="s">
        <v>417</v>
      </c>
      <c r="AW21" s="327" t="s">
        <v>375</v>
      </c>
      <c r="AX21" s="341"/>
      <c r="AY21" s="28"/>
      <c r="AZ21" s="329" t="s">
        <v>418</v>
      </c>
      <c r="BA21" s="342" t="s">
        <v>419</v>
      </c>
    </row>
    <row r="22" spans="1:53" ht="353.25" customHeight="1" thickBot="1" x14ac:dyDescent="0.35">
      <c r="A22" s="292"/>
      <c r="B22" s="293"/>
      <c r="C22" s="319"/>
      <c r="D22" s="331"/>
      <c r="E22" s="319"/>
      <c r="F22" s="319"/>
      <c r="G22" s="332"/>
      <c r="H22" s="296"/>
      <c r="I22" s="283"/>
      <c r="J22" s="297"/>
      <c r="K22" s="298"/>
      <c r="L22" s="296"/>
      <c r="M22" s="283"/>
      <c r="N22" s="299"/>
      <c r="O22" s="300"/>
      <c r="P22" s="2"/>
      <c r="Q22" s="333">
        <v>6</v>
      </c>
      <c r="R22" s="127" t="s">
        <v>420</v>
      </c>
      <c r="S22" s="127" t="s">
        <v>421</v>
      </c>
      <c r="T22" s="127" t="s">
        <v>422</v>
      </c>
      <c r="U22" s="127" t="s">
        <v>423</v>
      </c>
      <c r="V22" s="127" t="s">
        <v>424</v>
      </c>
      <c r="W22" s="127" t="s">
        <v>425</v>
      </c>
      <c r="X22" s="30" t="str">
        <f t="shared" si="4"/>
        <v>Impacto</v>
      </c>
      <c r="Y22" s="6" t="s">
        <v>151</v>
      </c>
      <c r="Z22" s="6" t="s">
        <v>77</v>
      </c>
      <c r="AA22" s="31" t="str">
        <f t="shared" si="0"/>
        <v>25%</v>
      </c>
      <c r="AB22" s="8" t="s">
        <v>153</v>
      </c>
      <c r="AC22" s="242" t="s">
        <v>426</v>
      </c>
      <c r="AD22" s="6" t="s">
        <v>99</v>
      </c>
      <c r="AE22" s="8" t="s">
        <v>81</v>
      </c>
      <c r="AF22" s="8" t="str">
        <f t="shared" si="1"/>
        <v>Actas de reunión / Listados de Asistencia
Correo electrónico ( Cuando aplique).</v>
      </c>
      <c r="AG22" s="302">
        <f t="shared" si="5"/>
        <v>7.4088000000000001E-2</v>
      </c>
      <c r="AH22" s="33" t="str">
        <f t="shared" si="2"/>
        <v>Muy Baja</v>
      </c>
      <c r="AI22" s="34">
        <f t="shared" si="6"/>
        <v>7.4088000000000001E-2</v>
      </c>
      <c r="AJ22" s="35" t="str">
        <f t="shared" si="3"/>
        <v>Moderado</v>
      </c>
      <c r="AK22" s="302">
        <f t="shared" si="7"/>
        <v>0.44999999999999996</v>
      </c>
      <c r="AL22" s="36" t="str">
        <f t="shared" si="8"/>
        <v>Muy Baja - Moderado</v>
      </c>
      <c r="AM22" s="37" t="str">
        <f>+VLOOKUP(AL22,[3]Datos!$J$4:$K$28,2,)</f>
        <v>MODERADO</v>
      </c>
      <c r="AN22" s="337"/>
      <c r="AO22" s="2"/>
      <c r="AP22" s="338"/>
      <c r="AQ22" s="339"/>
      <c r="AR22" s="340"/>
      <c r="AT22" s="326">
        <v>46157</v>
      </c>
      <c r="AU22" s="127" t="s">
        <v>427</v>
      </c>
      <c r="AV22" s="346" t="s">
        <v>428</v>
      </c>
      <c r="AW22" s="327" t="s">
        <v>375</v>
      </c>
      <c r="AX22" s="341"/>
      <c r="AY22" s="28"/>
      <c r="AZ22" s="329" t="s">
        <v>429</v>
      </c>
      <c r="BA22" s="342" t="s">
        <v>430</v>
      </c>
    </row>
    <row r="23" spans="1:53" ht="353.25" customHeight="1" x14ac:dyDescent="0.3">
      <c r="A23" s="278"/>
      <c r="B23" s="237"/>
      <c r="C23" s="165"/>
      <c r="D23" s="347"/>
      <c r="E23" s="165"/>
      <c r="F23" s="165"/>
      <c r="G23" s="348"/>
      <c r="H23" s="160"/>
      <c r="I23" s="157"/>
      <c r="J23" s="349"/>
      <c r="K23" s="350"/>
      <c r="L23" s="160"/>
      <c r="M23" s="157"/>
      <c r="N23" s="351"/>
      <c r="O23" s="352"/>
      <c r="P23" s="353"/>
      <c r="Q23" s="321">
        <v>7</v>
      </c>
      <c r="R23" s="127" t="s">
        <v>431</v>
      </c>
      <c r="S23" s="127" t="s">
        <v>432</v>
      </c>
      <c r="T23" s="127" t="s">
        <v>433</v>
      </c>
      <c r="U23" s="127" t="s">
        <v>434</v>
      </c>
      <c r="V23" s="127" t="s">
        <v>435</v>
      </c>
      <c r="W23" s="127" t="s">
        <v>425</v>
      </c>
      <c r="X23" s="30" t="str">
        <f t="shared" si="4"/>
        <v>Impacto</v>
      </c>
      <c r="Y23" s="6" t="s">
        <v>151</v>
      </c>
      <c r="Z23" s="6" t="s">
        <v>77</v>
      </c>
      <c r="AA23" s="31" t="str">
        <f t="shared" si="0"/>
        <v>25%</v>
      </c>
      <c r="AB23" s="8" t="s">
        <v>78</v>
      </c>
      <c r="AC23" s="242" t="s">
        <v>436</v>
      </c>
      <c r="AD23" s="6" t="s">
        <v>99</v>
      </c>
      <c r="AE23" s="8" t="s">
        <v>81</v>
      </c>
      <c r="AF23" s="8" t="str">
        <f t="shared" si="1"/>
        <v>Actas de reunión / Listados de Asistencia
Correo electrónico ( Cuando aplique).</v>
      </c>
      <c r="AG23" s="354">
        <f t="shared" si="5"/>
        <v>7.4088000000000001E-2</v>
      </c>
      <c r="AH23" s="33" t="str">
        <f t="shared" si="2"/>
        <v>Muy Baja</v>
      </c>
      <c r="AI23" s="34">
        <f t="shared" si="6"/>
        <v>7.4088000000000001E-2</v>
      </c>
      <c r="AJ23" s="35" t="str">
        <f t="shared" si="3"/>
        <v>Menor</v>
      </c>
      <c r="AK23" s="354">
        <f t="shared" si="7"/>
        <v>0.33749999999999997</v>
      </c>
      <c r="AL23" s="36" t="str">
        <f t="shared" si="8"/>
        <v>Muy Baja - Menor</v>
      </c>
      <c r="AM23" s="37" t="str">
        <f>+VLOOKUP(AL23,[3]Datos!$J$4:$K$28,2,)</f>
        <v>BAJO</v>
      </c>
      <c r="AN23" s="324"/>
      <c r="AO23" s="353"/>
      <c r="AP23" s="325"/>
      <c r="AQ23" s="244"/>
      <c r="AR23" s="245"/>
      <c r="AS23" s="355"/>
      <c r="AT23" s="326">
        <v>46157</v>
      </c>
      <c r="AU23" s="127" t="s">
        <v>437</v>
      </c>
      <c r="AV23" s="346"/>
      <c r="AW23" s="356"/>
      <c r="AX23" s="357"/>
      <c r="AY23" s="358"/>
      <c r="AZ23" s="329" t="s">
        <v>438</v>
      </c>
      <c r="BA23" s="342" t="s">
        <v>439</v>
      </c>
    </row>
    <row r="24" spans="1:53" ht="93.75" customHeight="1" x14ac:dyDescent="0.3">
      <c r="B24" s="76"/>
      <c r="C24" s="77"/>
      <c r="D24" s="77"/>
      <c r="E24" s="77"/>
      <c r="F24" s="77"/>
      <c r="G24" s="76"/>
      <c r="H24" s="359"/>
      <c r="I24" s="360"/>
      <c r="J24" s="361"/>
      <c r="K24" s="362"/>
      <c r="L24" s="359"/>
      <c r="M24" s="360"/>
      <c r="N24" s="360"/>
      <c r="O24" s="363"/>
      <c r="P24" s="2"/>
      <c r="Q24" s="82"/>
      <c r="R24" s="22"/>
      <c r="S24" s="22"/>
      <c r="T24" s="22"/>
      <c r="U24" s="22"/>
      <c r="V24" s="22"/>
      <c r="W24" s="22"/>
      <c r="X24" s="82"/>
      <c r="Y24" s="83"/>
      <c r="Z24" s="83"/>
      <c r="AA24" s="84"/>
      <c r="AB24" s="85"/>
      <c r="AC24" s="86"/>
      <c r="AD24" s="83"/>
      <c r="AE24" s="85"/>
      <c r="AF24" s="85"/>
      <c r="AG24" s="87"/>
      <c r="AH24" s="83"/>
      <c r="AI24" s="88"/>
      <c r="AJ24" s="89"/>
      <c r="AK24" s="87"/>
      <c r="AL24" s="90"/>
      <c r="AM24" s="91"/>
      <c r="AN24" s="92"/>
      <c r="AO24" s="2"/>
      <c r="AP24" s="74"/>
      <c r="AQ24" s="74"/>
      <c r="AR24" s="74"/>
      <c r="AT24" s="45"/>
      <c r="AU24" s="46"/>
      <c r="AV24" s="47"/>
      <c r="AW24" s="48"/>
      <c r="AX24" s="49"/>
      <c r="AY24" s="27"/>
      <c r="AZ24" s="47"/>
      <c r="BA24" s="50"/>
    </row>
    <row r="25" spans="1:53" ht="20.399999999999999" x14ac:dyDescent="0.3">
      <c r="A25" s="152" t="s">
        <v>103</v>
      </c>
      <c r="B25" s="152"/>
      <c r="C25" s="152"/>
      <c r="D25" s="152"/>
      <c r="E25" s="152"/>
      <c r="F25" s="152"/>
      <c r="G25" s="152"/>
      <c r="H25" s="152"/>
      <c r="P25" s="2"/>
      <c r="BA25" s="39" t="s">
        <v>104</v>
      </c>
    </row>
    <row r="26" spans="1:53" x14ac:dyDescent="0.3">
      <c r="P26" s="2"/>
    </row>
    <row r="27" spans="1:53" s="1" customFormat="1" x14ac:dyDescent="0.3">
      <c r="A27"/>
      <c r="B27"/>
      <c r="C27"/>
      <c r="D27"/>
      <c r="E27"/>
      <c r="F27"/>
      <c r="G27"/>
      <c r="H27"/>
      <c r="I27"/>
      <c r="J27"/>
      <c r="K27"/>
      <c r="P27" s="2"/>
      <c r="AN27" s="4"/>
      <c r="AO27" s="4"/>
      <c r="AP27" s="4"/>
      <c r="AS27"/>
      <c r="AT27"/>
      <c r="AU27"/>
      <c r="AV27"/>
      <c r="AW27"/>
      <c r="AX27"/>
      <c r="AY27"/>
      <c r="AZ27"/>
      <c r="BA27"/>
    </row>
    <row r="28" spans="1:53" s="1" customFormat="1" x14ac:dyDescent="0.3">
      <c r="A28"/>
      <c r="B28"/>
      <c r="C28"/>
      <c r="D28"/>
      <c r="E28"/>
      <c r="F28"/>
      <c r="G28"/>
      <c r="H28"/>
      <c r="I28"/>
      <c r="J28"/>
      <c r="K28"/>
      <c r="P28" s="2"/>
      <c r="AN28" s="4"/>
      <c r="AO28" s="4"/>
      <c r="AP28" s="4"/>
      <c r="AS28"/>
      <c r="AT28"/>
      <c r="AU28"/>
      <c r="AV28"/>
      <c r="AW28"/>
      <c r="AX28"/>
      <c r="AY28"/>
      <c r="AZ28"/>
      <c r="BA28"/>
    </row>
    <row r="29" spans="1:53" s="1" customFormat="1" x14ac:dyDescent="0.3">
      <c r="A29"/>
      <c r="B29"/>
      <c r="C29"/>
      <c r="D29"/>
      <c r="E29"/>
      <c r="F29"/>
      <c r="G29"/>
      <c r="H29"/>
      <c r="I29"/>
      <c r="J29"/>
      <c r="K29"/>
      <c r="P29" s="2"/>
      <c r="AN29" s="4"/>
      <c r="AO29" s="4"/>
      <c r="AP29" s="4"/>
      <c r="AS29"/>
      <c r="AT29"/>
      <c r="AU29"/>
      <c r="AV29"/>
      <c r="AW29"/>
      <c r="AX29"/>
      <c r="AY29"/>
      <c r="AZ29"/>
      <c r="BA29"/>
    </row>
    <row r="30" spans="1:53" s="1" customFormat="1" x14ac:dyDescent="0.3">
      <c r="A30"/>
      <c r="B30"/>
      <c r="C30"/>
      <c r="D30"/>
      <c r="E30"/>
      <c r="F30"/>
      <c r="G30"/>
      <c r="H30"/>
      <c r="I30"/>
      <c r="J30"/>
      <c r="K30"/>
      <c r="P30" s="2"/>
      <c r="AN30" s="4"/>
      <c r="AO30" s="4"/>
      <c r="AP30" s="4"/>
      <c r="AS30"/>
      <c r="AT30"/>
      <c r="AU30"/>
      <c r="AV30"/>
      <c r="AW30"/>
      <c r="AX30"/>
      <c r="AY30"/>
      <c r="AZ30"/>
      <c r="BA30"/>
    </row>
    <row r="31" spans="1:53" s="1" customFormat="1" x14ac:dyDescent="0.3">
      <c r="A31"/>
      <c r="B31"/>
      <c r="C31"/>
      <c r="D31"/>
      <c r="E31"/>
      <c r="F31"/>
      <c r="G31"/>
      <c r="H31"/>
      <c r="I31"/>
      <c r="J31"/>
      <c r="K31"/>
      <c r="P31" s="2"/>
      <c r="AN31" s="4"/>
      <c r="AO31" s="4"/>
      <c r="AP31" s="4"/>
      <c r="AS31"/>
      <c r="AT31"/>
      <c r="AU31"/>
      <c r="AV31"/>
      <c r="AW31"/>
      <c r="AX31"/>
      <c r="AY31"/>
      <c r="AZ31"/>
      <c r="BA31"/>
    </row>
    <row r="32" spans="1:53" s="1" customFormat="1" x14ac:dyDescent="0.3">
      <c r="A32"/>
      <c r="B32"/>
      <c r="C32"/>
      <c r="D32"/>
      <c r="E32"/>
      <c r="F32"/>
      <c r="G32"/>
      <c r="H32"/>
      <c r="I32"/>
      <c r="J32"/>
      <c r="K32"/>
      <c r="P32" s="2"/>
      <c r="AN32" s="4"/>
      <c r="AO32" s="4"/>
      <c r="AP32" s="4"/>
      <c r="AS32"/>
      <c r="AT32"/>
      <c r="AU32"/>
      <c r="AV32"/>
      <c r="AW32"/>
      <c r="AX32"/>
      <c r="AY32"/>
      <c r="AZ32"/>
      <c r="BA32"/>
    </row>
    <row r="33" spans="1:53" s="1" customFormat="1" x14ac:dyDescent="0.3">
      <c r="A33"/>
      <c r="B33"/>
      <c r="C33"/>
      <c r="D33"/>
      <c r="E33"/>
      <c r="F33"/>
      <c r="G33"/>
      <c r="H33"/>
      <c r="I33"/>
      <c r="J33"/>
      <c r="K33"/>
      <c r="P33" s="2"/>
      <c r="AN33" s="4"/>
      <c r="AO33" s="4"/>
      <c r="AP33" s="4"/>
      <c r="AS33"/>
      <c r="AT33"/>
      <c r="AU33"/>
      <c r="AV33"/>
      <c r="AW33"/>
      <c r="AX33"/>
      <c r="AY33"/>
      <c r="AZ33"/>
      <c r="BA33"/>
    </row>
  </sheetData>
  <mergeCells count="47">
    <mergeCell ref="O17:O23"/>
    <mergeCell ref="AN17:AN23"/>
    <mergeCell ref="AP17:AP23"/>
    <mergeCell ref="AQ17:AQ23"/>
    <mergeCell ref="AR17:AR23"/>
    <mergeCell ref="A25:H25"/>
    <mergeCell ref="I17:I23"/>
    <mergeCell ref="J17:J23"/>
    <mergeCell ref="K17:K23"/>
    <mergeCell ref="L17:L23"/>
    <mergeCell ref="M17:M23"/>
    <mergeCell ref="N17:N23"/>
    <mergeCell ref="AB16:AC16"/>
    <mergeCell ref="AE16:AF16"/>
    <mergeCell ref="A17:A23"/>
    <mergeCell ref="B17:B23"/>
    <mergeCell ref="C17:C23"/>
    <mergeCell ref="D17:D23"/>
    <mergeCell ref="E17:E23"/>
    <mergeCell ref="F17:F23"/>
    <mergeCell ref="G17:G23"/>
    <mergeCell ref="H17:H23"/>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24">
    <cfRule type="cellIs" dxfId="291" priority="20" operator="equal">
      <formula>"Muy Alta"</formula>
    </cfRule>
    <cfRule type="cellIs" dxfId="290" priority="21" operator="equal">
      <formula>"Alta"</formula>
    </cfRule>
    <cfRule type="cellIs" dxfId="289" priority="22" operator="equal">
      <formula>"Media"</formula>
    </cfRule>
    <cfRule type="cellIs" dxfId="288" priority="23" operator="equal">
      <formula>"Muy Baja"</formula>
    </cfRule>
    <cfRule type="cellIs" dxfId="287" priority="24" operator="equal">
      <formula>"Baja"</formula>
    </cfRule>
  </conditionalFormatting>
  <conditionalFormatting sqref="L17:L24">
    <cfRule type="cellIs" dxfId="286" priority="15" operator="equal">
      <formula>"Leve"</formula>
    </cfRule>
    <cfRule type="cellIs" dxfId="285" priority="16" operator="equal">
      <formula>"Catastrófico"</formula>
    </cfRule>
    <cfRule type="cellIs" dxfId="284" priority="17" operator="equal">
      <formula>"Mayor"</formula>
    </cfRule>
    <cfRule type="cellIs" dxfId="283" priority="18" operator="equal">
      <formula>"Moderado"</formula>
    </cfRule>
    <cfRule type="cellIs" dxfId="282" priority="19" operator="equal">
      <formula>"Menor"</formula>
    </cfRule>
  </conditionalFormatting>
  <conditionalFormatting sqref="O17:O24 AM17:AM24">
    <cfRule type="cellIs" dxfId="281" priority="11" operator="equal">
      <formula>"EXTREMO"</formula>
    </cfRule>
    <cfRule type="cellIs" dxfId="280" priority="12" operator="equal">
      <formula>"ALTO"</formula>
    </cfRule>
    <cfRule type="cellIs" dxfId="279" priority="13" operator="equal">
      <formula>"BAJO"</formula>
    </cfRule>
    <cfRule type="cellIs" dxfId="278" priority="14" operator="equal">
      <formula>"MODERADO"</formula>
    </cfRule>
  </conditionalFormatting>
  <conditionalFormatting sqref="AH17:AH24">
    <cfRule type="cellIs" dxfId="277" priority="6" operator="equal">
      <formula>"Muy Baja"</formula>
    </cfRule>
    <cfRule type="cellIs" dxfId="276" priority="7" operator="equal">
      <formula>"Baja"</formula>
    </cfRule>
    <cfRule type="cellIs" dxfId="275" priority="8" operator="equal">
      <formula>"Media"</formula>
    </cfRule>
    <cfRule type="cellIs" dxfId="274" priority="9" operator="equal">
      <formula>"Muy Alta"</formula>
    </cfRule>
    <cfRule type="cellIs" dxfId="273" priority="10" operator="equal">
      <formula>"Alta"</formula>
    </cfRule>
  </conditionalFormatting>
  <conditionalFormatting sqref="AJ17:AJ24">
    <cfRule type="cellIs" dxfId="272" priority="1" operator="equal">
      <formula>"Catastrófico"</formula>
    </cfRule>
    <cfRule type="cellIs" dxfId="271" priority="2" operator="equal">
      <formula>"Mayor"</formula>
    </cfRule>
    <cfRule type="cellIs" dxfId="270" priority="3" operator="equal">
      <formula>"Moderado"</formula>
    </cfRule>
    <cfRule type="cellIs" dxfId="269" priority="4" operator="equal">
      <formula>"Menor"</formula>
    </cfRule>
    <cfRule type="cellIs" dxfId="268" priority="5" operator="equal">
      <formula>"Leve"</formula>
    </cfRule>
  </conditionalFormatting>
  <hyperlinks>
    <hyperlink ref="A14:O15" location="Instructivo!A1" display="IDENTIFICACIÓN DEL RIESGO" xr:uid="{20AFCCA9-2FF6-4084-8F98-911673BD3ADE}"/>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8E1FF-41B3-49C0-81B2-2BD906D802CA}">
  <ds:schemaRefs>
    <ds:schemaRef ds:uri="http://schemas.microsoft.com/office/2006/metadata/properties"/>
    <ds:schemaRef ds:uri="http://schemas.microsoft.com/office/infopath/2007/PartnerControls"/>
    <ds:schemaRef ds:uri="8befd943-4f51-4e42-85af-a07052259448"/>
    <ds:schemaRef ds:uri="d8efec78-3424-4c97-abf4-c2ff1d9e6d03"/>
  </ds:schemaRefs>
</ds:datastoreItem>
</file>

<file path=customXml/itemProps2.xml><?xml version="1.0" encoding="utf-8"?>
<ds:datastoreItem xmlns:ds="http://schemas.openxmlformats.org/officeDocument/2006/customXml" ds:itemID="{8F4B51BE-A95C-4882-99ED-5A507A0A03D1}">
  <ds:schemaRefs>
    <ds:schemaRef ds:uri="http://schemas.microsoft.com/sharepoint/v3/contenttype/forms"/>
  </ds:schemaRefs>
</ds:datastoreItem>
</file>

<file path=customXml/itemProps3.xml><?xml version="1.0" encoding="utf-8"?>
<ds:datastoreItem xmlns:ds="http://schemas.openxmlformats.org/officeDocument/2006/customXml" ds:itemID="{56797719-FD93-4CCA-B760-9C57DA185D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fd943-4f51-4e42-85af-a07052259448"/>
    <ds:schemaRef ds:uri="d8efec78-3424-4c97-abf4-c2ff1d9e6d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DESARROLLO HUMANO R1 </vt:lpstr>
      <vt:lpstr>DESARROLLO HUMANO R2</vt:lpstr>
      <vt:lpstr>DESARROLLO HUMANO R3</vt:lpstr>
      <vt:lpstr>AMBIENTAL R1</vt:lpstr>
      <vt:lpstr>AMBIENTAL R2</vt:lpstr>
      <vt:lpstr>AMBIENTAL R3</vt:lpstr>
      <vt:lpstr>JURIDICA R1</vt:lpstr>
      <vt:lpstr>JURIDICA R2</vt:lpstr>
      <vt:lpstr>FINANCIERA R1</vt:lpstr>
      <vt:lpstr>FINANCIERA R2</vt:lpstr>
      <vt:lpstr>CONTRACTUAL R1</vt:lpstr>
      <vt:lpstr>CONTRACTUAL R2</vt:lpstr>
      <vt:lpstr>INVENTARIOS Y ALMACEN R1</vt:lpstr>
      <vt:lpstr>INVENTARIOS Y ALMACEN R2</vt:lpstr>
      <vt:lpstr>DOCUMENTAL R1</vt:lpstr>
      <vt:lpstr>DOCUMENTAL R2</vt:lpstr>
      <vt:lpstr>DOCUMENTAL R3</vt:lpstr>
      <vt:lpstr>S ADMINISTRATIVOS R1</vt:lpstr>
      <vt:lpstr>S ADMINISTRATIVOS R2</vt:lpstr>
      <vt:lpstr>ADECUACION Y MANTENIMIENTO R1</vt:lpstr>
      <vt:lpstr>'ADECUACION Y MANTENIMIENTO R1'!Área_de_impresión</vt:lpstr>
      <vt:lpstr>'AMBIENTAL R1'!Área_de_impresión</vt:lpstr>
      <vt:lpstr>'AMBIENTAL R2'!Área_de_impresión</vt:lpstr>
      <vt:lpstr>'AMBIENTAL R3'!Área_de_impresión</vt:lpstr>
      <vt:lpstr>'CONTRACTUAL R1'!Área_de_impresión</vt:lpstr>
      <vt:lpstr>'CONTRACTUAL R2'!Área_de_impresión</vt:lpstr>
      <vt:lpstr>'DESARROLLO HUMANO R1 '!Área_de_impresión</vt:lpstr>
      <vt:lpstr>'DESARROLLO HUMANO R2'!Área_de_impresión</vt:lpstr>
      <vt:lpstr>'DESARROLLO HUMANO R3'!Área_de_impresión</vt:lpstr>
      <vt:lpstr>'DOCUMENTAL R1'!Área_de_impresión</vt:lpstr>
      <vt:lpstr>'DOCUMENTAL R2'!Área_de_impresión</vt:lpstr>
      <vt:lpstr>'DOCUMENTAL R3'!Área_de_impresión</vt:lpstr>
      <vt:lpstr>'FINANCIERA R1'!Área_de_impresión</vt:lpstr>
      <vt:lpstr>'FINANCIERA R2'!Área_de_impresión</vt:lpstr>
      <vt:lpstr>'INVENTARIOS Y ALMACEN R1'!Área_de_impresión</vt:lpstr>
      <vt:lpstr>'INVENTARIOS Y ALMACEN R2'!Área_de_impresión</vt:lpstr>
      <vt:lpstr>'JURIDICA R1'!Área_de_impresión</vt:lpstr>
      <vt:lpstr>'JURIDICA R2'!Área_de_impresión</vt:lpstr>
      <vt:lpstr>'S ADMINISTRATIVOS R1'!Área_de_impresión</vt:lpstr>
      <vt:lpstr>'S ADMINISTRATIVOS R2'!Área_de_impresión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Carlos Andres Guerra Jimenez</cp:lastModifiedBy>
  <cp:revision/>
  <dcterms:created xsi:type="dcterms:W3CDTF">2021-05-10T15:52:34Z</dcterms:created>
  <dcterms:modified xsi:type="dcterms:W3CDTF">2026-06-24T16:43:13Z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