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guerra\Downloads\Diciembre 2022\"/>
    </mc:Choice>
  </mc:AlternateContent>
  <bookViews>
    <workbookView xWindow="-120" yWindow="-120" windowWidth="29040" windowHeight="15840" activeTab="2"/>
  </bookViews>
  <sheets>
    <sheet name="MEJORAMIENTO A LA GESTION" sheetId="3" r:id="rId1"/>
    <sheet name="EVALUACION A LA GESTION" sheetId="6" r:id="rId2"/>
    <sheet name="CONTROL INTERNO DISCIPLINARIO" sheetId="7" r:id="rId3"/>
    <sheet name="Datos" sheetId="5" state="hidden" r:id="rId4"/>
  </sheets>
  <externalReferences>
    <externalReference r:id="rId5"/>
    <externalReference r:id="rId6"/>
  </externalReferences>
  <definedNames>
    <definedName name="_xlnm.Print_Area" localSheetId="2">'CONTROL INTERNO DISCIPLINARIO'!$A$1:$AK$19</definedName>
    <definedName name="_xlnm.Print_Area" localSheetId="1">'EVALUACION A LA GESTION'!$A$1:$AK$18</definedName>
    <definedName name="_xlnm.Print_Area" localSheetId="0">'MEJORAMIENTO A LA GESTION'!$A$1:$AK$18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7" l="1"/>
  <c r="S19" i="7"/>
  <c r="V17" i="7"/>
  <c r="S17" i="7"/>
  <c r="K17" i="7"/>
  <c r="L17" i="7" s="1"/>
  <c r="M17" i="7" s="1"/>
  <c r="H17" i="7"/>
  <c r="AD19" i="7" l="1"/>
  <c r="AC19" i="7" s="1"/>
  <c r="N17" i="7"/>
  <c r="O17" i="7" s="1"/>
  <c r="I17" i="7"/>
  <c r="Z17" i="7"/>
  <c r="AD17" i="7"/>
  <c r="AC17" i="7" s="1"/>
  <c r="AB17" i="7" l="1"/>
  <c r="Z19" i="7" s="1"/>
  <c r="AA17" i="7"/>
  <c r="AE17" i="7" s="1"/>
  <c r="AF17" i="7" s="1"/>
  <c r="AB19" i="7" l="1"/>
  <c r="AA19" i="7"/>
  <c r="AE19" i="7" s="1"/>
  <c r="AF19" i="7" s="1"/>
  <c r="V21" i="6" l="1"/>
  <c r="S21" i="6"/>
  <c r="V20" i="6"/>
  <c r="S20" i="6"/>
  <c r="V19" i="6"/>
  <c r="S19" i="6"/>
  <c r="K19" i="6"/>
  <c r="L19" i="6" s="1"/>
  <c r="M19" i="6" s="1"/>
  <c r="H19" i="6"/>
  <c r="I19" i="6" s="1"/>
  <c r="V18" i="6"/>
  <c r="S18" i="6"/>
  <c r="V17" i="6"/>
  <c r="S17" i="6"/>
  <c r="K17" i="6"/>
  <c r="L17" i="6" s="1"/>
  <c r="M17" i="6" s="1"/>
  <c r="H17" i="6"/>
  <c r="I17" i="6" s="1"/>
  <c r="Z17" i="6" s="1"/>
  <c r="AD20" i="6" l="1"/>
  <c r="AC20" i="6" s="1"/>
  <c r="AD18" i="6"/>
  <c r="AC18" i="6" s="1"/>
  <c r="AD21" i="6"/>
  <c r="AC21" i="6" s="1"/>
  <c r="AA17" i="6"/>
  <c r="AB17" i="6"/>
  <c r="Z18" i="6"/>
  <c r="Z19" i="6"/>
  <c r="N17" i="6"/>
  <c r="O17" i="6" s="1"/>
  <c r="AD17" i="6"/>
  <c r="AC17" i="6" s="1"/>
  <c r="N19" i="6"/>
  <c r="O19" i="6" s="1"/>
  <c r="AD19" i="6"/>
  <c r="AC19" i="6" s="1"/>
  <c r="AB18" i="6" l="1"/>
  <c r="AA18" i="6"/>
  <c r="AE18" i="6" s="1"/>
  <c r="AF18" i="6" s="1"/>
  <c r="AB19" i="6"/>
  <c r="Z20" i="6" s="1"/>
  <c r="AA19" i="6"/>
  <c r="AE19" i="6" s="1"/>
  <c r="AF19" i="6" s="1"/>
  <c r="AE17" i="6"/>
  <c r="AF17" i="6" s="1"/>
  <c r="AB20" i="6" l="1"/>
  <c r="Z21" i="6" s="1"/>
  <c r="AA20" i="6"/>
  <c r="AE20" i="6" s="1"/>
  <c r="AF20" i="6" s="1"/>
  <c r="AB21" i="6" l="1"/>
  <c r="AA21" i="6"/>
  <c r="AE21" i="6" s="1"/>
  <c r="AF21" i="6" s="1"/>
  <c r="AD23" i="3" l="1"/>
  <c r="AC23" i="3" s="1"/>
  <c r="V22" i="3"/>
  <c r="S22" i="3"/>
  <c r="V21" i="3"/>
  <c r="S21" i="3"/>
  <c r="V23" i="3" l="1"/>
  <c r="S23" i="3"/>
  <c r="V20" i="3"/>
  <c r="S20" i="3"/>
  <c r="V19" i="3"/>
  <c r="S19" i="3"/>
  <c r="K19" i="3"/>
  <c r="H19" i="3"/>
  <c r="L19" i="3" l="1"/>
  <c r="M19" i="3" s="1"/>
  <c r="AD19" i="3" s="1"/>
  <c r="AC19" i="3" s="1"/>
  <c r="I19" i="3"/>
  <c r="Z19" i="3" s="1"/>
  <c r="AB19" i="3" s="1"/>
  <c r="Z20" i="3" s="1"/>
  <c r="AD20" i="3" l="1"/>
  <c r="AC20" i="3" s="1"/>
  <c r="N19" i="3"/>
  <c r="O19" i="3" s="1"/>
  <c r="AD21" i="3"/>
  <c r="AD22" i="3" s="1"/>
  <c r="AA19" i="3"/>
  <c r="AE19" i="3" s="1"/>
  <c r="AF19" i="3" s="1"/>
  <c r="AB20" i="3"/>
  <c r="Z21" i="3" s="1"/>
  <c r="AA20" i="3"/>
  <c r="AE20" i="3" s="1"/>
  <c r="AF20" i="3" s="1"/>
  <c r="AC22" i="3" l="1"/>
  <c r="AC21" i="3"/>
  <c r="AA21" i="3"/>
  <c r="AB21" i="3"/>
  <c r="Z22" i="3" s="1"/>
  <c r="AB22" i="3" l="1"/>
  <c r="Z23" i="3" s="1"/>
  <c r="AA22" i="3"/>
  <c r="AE22" i="3" s="1"/>
  <c r="AF22" i="3" s="1"/>
  <c r="AE21" i="3"/>
  <c r="AF21" i="3" s="1"/>
  <c r="V18" i="3"/>
  <c r="S18" i="3"/>
  <c r="AA23" i="3" l="1"/>
  <c r="AE23" i="3" s="1"/>
  <c r="AF23" i="3" s="1"/>
  <c r="AB23" i="3"/>
  <c r="V17" i="3"/>
  <c r="S17" i="3"/>
  <c r="K17" i="3" l="1"/>
  <c r="L17" i="3" s="1"/>
  <c r="M17" i="3" l="1"/>
  <c r="H17" i="3"/>
  <c r="AD17" i="3" l="1"/>
  <c r="AC17" i="3" s="1"/>
  <c r="AD18" i="3"/>
  <c r="I17" i="3"/>
  <c r="Z17" i="3" s="1"/>
  <c r="AA17" i="3" s="1"/>
  <c r="N17" i="3"/>
  <c r="O17" i="3" s="1"/>
  <c r="AC18" i="3" l="1"/>
  <c r="AE17" i="3"/>
  <c r="AF17" i="3" s="1"/>
  <c r="AB17" i="3"/>
  <c r="Z18" i="3" s="1"/>
  <c r="AA18" i="3" l="1"/>
  <c r="AE18" i="3" s="1"/>
  <c r="AF18" i="3" s="1"/>
  <c r="AB18" i="3"/>
</calcChain>
</file>

<file path=xl/comments1.xml><?xml version="1.0" encoding="utf-8"?>
<comments xmlns="http://schemas.openxmlformats.org/spreadsheetml/2006/main">
  <authors>
    <author>tc={004E5629-BD0E-4948-BE86-4CB5417FF6E9}</author>
    <author>tc={24252281-829E-4763-8266-1F662A2789D5}</author>
  </authors>
  <commentList>
    <comment ref="G1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BASE EL NUMERO DE SEGUIMIENTOS QUE SE REALIZAN EN EL AÑO POR HERRAMIENTAS Riesgos: 3 , PAAC: 3, Plan de Acción: 4, Plan de Mejoramiento: 4, Indicadores: 4</t>
        </r>
      </text>
    </comment>
    <comment ref="G19"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base el numero de actividades que conforman el plan de adecuación 2022</t>
        </r>
      </text>
    </comment>
  </commentList>
</comments>
</file>

<file path=xl/comments2.xml><?xml version="1.0" encoding="utf-8"?>
<comments xmlns="http://schemas.openxmlformats.org/spreadsheetml/2006/main">
  <authors>
    <author>Willington Granados Herrera</author>
  </authors>
  <commentList>
    <comment ref="G17" authorId="0" shapeId="0">
      <text>
        <r>
          <rPr>
            <b/>
            <sz val="9"/>
            <color indexed="81"/>
            <rFont val="Tahoma"/>
            <family val="2"/>
          </rPr>
          <t>Willington Granados Herrera:</t>
        </r>
        <r>
          <rPr>
            <sz val="9"/>
            <color indexed="81"/>
            <rFont val="Tahoma"/>
            <family val="2"/>
          </rPr>
          <t xml:space="preserve">
Plan anual de auditoria 67 numero de informes o actividades relacionadas con la evaluación de la gestión</t>
        </r>
      </text>
    </comment>
  </commentList>
</comments>
</file>

<file path=xl/comments3.xml><?xml version="1.0" encoding="utf-8"?>
<comments xmlns="http://schemas.openxmlformats.org/spreadsheetml/2006/main">
  <authors>
    <author>tc={5D3954D1-F44C-483A-89D4-1F38C57E7AEC}</author>
  </authors>
  <commentList>
    <comment ref="G1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base los 148 procesos disciplinarios activos en el 2021</t>
        </r>
      </text>
    </comment>
  </commentList>
</comments>
</file>

<file path=xl/sharedStrings.xml><?xml version="1.0" encoding="utf-8"?>
<sst xmlns="http://schemas.openxmlformats.org/spreadsheetml/2006/main" count="442" uniqueCount="234">
  <si>
    <t>GESTION DEL MEJORAMIENTO</t>
  </si>
  <si>
    <t>CÓDIGO</t>
  </si>
  <si>
    <t>E-PLA-FT-020</t>
  </si>
  <si>
    <t>VERSIÓN</t>
  </si>
  <si>
    <t>09</t>
  </si>
  <si>
    <t>MAPA DE RIESGOS DE GESTIÓN</t>
  </si>
  <si>
    <t>PÁGINA</t>
  </si>
  <si>
    <t>1 DE 1</t>
  </si>
  <si>
    <t>VIGENTE DESDE</t>
  </si>
  <si>
    <t>Proceso</t>
  </si>
  <si>
    <t>SEGUIMIENTO Y MEJORAMIENTO A LA GESTIÓN</t>
  </si>
  <si>
    <t>Objetivo del Proceso</t>
  </si>
  <si>
    <t>Asegurar el mejoramiento continuo de los procesos del IDIPRON a través de la planificación e implementación de actividades para el seguimiento, medicion y analisis de la gestión institucional con el fin de proveer la información necesaria 
para la toma de decisiones y el mejoramiento de las capacidades del instituto</t>
  </si>
  <si>
    <t>Alcance</t>
  </si>
  <si>
    <t>Inicia con la planificacion de la mejora continua para la Implementacion, Coordinacion, asesoria y acompañamiento a los procesos en la implementación de politicas, programas, estrategias, metodologías y planes relacionados con el Modelo integrado de Planeación y Gestion para finalizar con el análisis de los resultados para la implementacion de acciones de mejoramiento.</t>
  </si>
  <si>
    <t>IDENTIFICACIÓN DEL RIESGO</t>
  </si>
  <si>
    <t>VALORACIÓN DEL RIESGO</t>
  </si>
  <si>
    <t>GESTIÓN DEL RIESGO</t>
  </si>
  <si>
    <t xml:space="preserve">MONITOREO </t>
  </si>
  <si>
    <t>SEGUIMIENTO Y EVALUACIÓN</t>
  </si>
  <si>
    <t>Atributos</t>
  </si>
  <si>
    <t>No. De Riesgo</t>
  </si>
  <si>
    <t>Impacto</t>
  </si>
  <si>
    <t>Causa Inmediata</t>
  </si>
  <si>
    <t>Causa Raiz</t>
  </si>
  <si>
    <t>Descripción del Riesgo</t>
  </si>
  <si>
    <t>Clasificación Riesgo</t>
  </si>
  <si>
    <t>Frecuencia con la que se realiza la actividad</t>
  </si>
  <si>
    <t>Probabilidad 
Inherente</t>
  </si>
  <si>
    <t>%</t>
  </si>
  <si>
    <t>Criterios de Impacto</t>
  </si>
  <si>
    <t>Observacion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</si>
  <si>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</si>
  <si>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</si>
  <si>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</si>
  <si>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</si>
  <si>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</si>
  <si>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</si>
  <si>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</si>
  <si>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</si>
  <si>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</si>
  <si>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</si>
  <si>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</si>
  <si>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</si>
  <si>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</si>
  <si>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</si>
  <si>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</si>
  <si>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</si>
  <si>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</si>
  <si>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</si>
  <si>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</si>
  <si>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</si>
  <si>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</si>
  <si>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</si>
  <si>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</si>
  <si>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</si>
  <si>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</si>
  <si>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</si>
  <si>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</si>
  <si>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</si>
  <si>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reporte de información errada para el mejoramiento contínuo y  la toma de decisiones</t>
  </si>
  <si>
    <t xml:space="preserve">Inadecuada Implementación de las herramientas para el seguimiento de la gestión institucional </t>
  </si>
  <si>
    <t xml:space="preserve">Posibilidad de afectación reputacional por reporte de información errada para el mejoramiento contínuo y  la toma de decisiones debido a la Inadecuada Implementación de las herramientas para el seguimiento de la gestión institucional  </t>
  </si>
  <si>
    <t>El riesgo afecta la imagen de la entidad internamente, de conocimiento general nivel interno, de junta directiva y/o de proveedores</t>
  </si>
  <si>
    <t>Los profesionales de la Oficina Asesora de Planeación encargados de la implementación del MIPG, realizan cada tres meses seguimiento a la implementación de las herramientas de gestión (Mapas de Riesgos, Plan de Acción, Plan de Mejoramiento, Indicadores de gestión y PAAC) verificando que los procesos han implementado las herramientas de acuerdo con lo establecido en los manuales metodológicos que dan lineamientos a cada una de las herramientas</t>
  </si>
  <si>
    <t>Detectivo</t>
  </si>
  <si>
    <t>Manual</t>
  </si>
  <si>
    <t>No se encuentra documentado</t>
  </si>
  <si>
    <t>cada tres meses</t>
  </si>
  <si>
    <t>Sharepoint con los seguimientos y evidencias</t>
  </si>
  <si>
    <t>REDUCIR EL RIESGO</t>
  </si>
  <si>
    <t>Realizar la presentación de los resultados de los seguimientos al comité institucional de gestión y desemepeño</t>
  </si>
  <si>
    <t>Equipo MIPG - Jefe de la Oficina Asesora de Planeación</t>
  </si>
  <si>
    <t>30/05/2022 - 30/12/2022</t>
  </si>
  <si>
    <r>
      <rPr>
        <sz val="10"/>
        <color rgb="FF000000"/>
        <rFont val="Times New Roman"/>
        <family val="1"/>
      </rPr>
      <t xml:space="preserve">Durante el tercer cuatrimestre, desde la Oficina Asesora de Planeación se realizó el seguimiento a las siguientes herramientas: Plan de Acción, Indicadores, Plan de Mejoramiento y Mapas de Riesgo.
Las evidencias de aplicación del control se encuentran en el Sharepoinr:
</t>
    </r>
    <r>
      <rPr>
        <b/>
        <sz val="10"/>
        <color rgb="FF000000"/>
        <rFont val="Times New Roman"/>
        <family val="1"/>
      </rPr>
      <t xml:space="preserve">Plan de Acción e Indicadores: </t>
    </r>
    <r>
      <rPr>
        <sz val="10"/>
        <color rgb="FF000000"/>
        <rFont val="Times New Roman"/>
        <family val="1"/>
      </rPr>
      <t xml:space="preserve">https://idipronbgta.sharepoint.com/sites/SeguimientoPlandeAccin2021/Documentos%20compartidos/Forms/AllItems.aspx?RootFolder=%2Fsites%2FSeguimientoPlandeAccin2021%2FDocumentos%20compartidos%2F2022&amp;FolderCTID=0x012000B3C96ECB9F5CA346883EC27B8A096607
</t>
    </r>
    <r>
      <rPr>
        <b/>
        <sz val="10"/>
        <color rgb="FF000000"/>
        <rFont val="Times New Roman"/>
        <family val="1"/>
      </rPr>
      <t xml:space="preserve">Plan de Mejoramiento: </t>
    </r>
    <r>
      <rPr>
        <sz val="10"/>
        <color rgb="FF000000"/>
        <rFont val="Times New Roman"/>
        <family val="1"/>
      </rPr>
      <t xml:space="preserve">https://idipronbgta.sharepoint.com/sites/TABLERODECONTROLBRECHAS/Documentos%20compartidos/Forms/AllItems.aspx?FolderCTID=0x012000B3C96ECB9F5CA346883EC27B8A096607&amp;id=%2Fsites%2FTABLERODECONTROLBRECHAS%2FDocumentos%20compartidos%2FMONITOREO%2F2022&amp;viewid=496ad030%2Dd736%2D4b13%2D86cf%2D609d2564219b
</t>
    </r>
    <r>
      <rPr>
        <b/>
        <sz val="10"/>
        <color rgb="FF000000"/>
        <rFont val="Times New Roman"/>
        <family val="1"/>
      </rPr>
      <t xml:space="preserve">Mapas de Riesgo: </t>
    </r>
    <r>
      <rPr>
        <sz val="10"/>
        <color rgb="FF000000"/>
        <rFont val="Times New Roman"/>
        <family val="1"/>
      </rPr>
      <t>https://idipronbgta.sharepoint.com/sites/MapadeRiesgosIDIPRON/Documentos%20compartidos/Forms/AllItems.aspx?id=%2Fsites%2FMapadeRiesgosIDIPRON%2FDocumentos%20compartidos%2FRiesgos%202022%2FRiesgos%20de%20Gesti%C3%B3n%2FSegundo%20Seguimiento&amp;viewid=35d52acb%2Defcc%2D48b5%2Dbce3%2D4cf517342942
Control No.2: Durante el periodo evaluado no se detectaron reportes de información errada.</t>
    </r>
  </si>
  <si>
    <t>Durante el Periodo Evaluado se realizó la presentación de los resultados de las herramientas de gestión al comite institucional de gestión y desempeño. 
Lo anterior se evidencia con las actas de los comités en donde se presentaron los resultados de las herramientas de gestión.</t>
  </si>
  <si>
    <t>No se materializó el riesgo en el periodo</t>
  </si>
  <si>
    <t>Control No. 1: Se evidencia la aplicación del control con el seguimiento realizado a las herramientas de gestión por parte de la OAP.
Control No. 2: El proceso reporta que durante el periodo no se detectaron reportes errados por lo tanto no hubo necesidad de aplicación del control. 
Acciones de Fortalecimiento: Se evidencia la realización de las presentaciones de los resultados de los seguimientos a las herramientas de gestión al Comité Institucional de Gestión y Desempeño.</t>
  </si>
  <si>
    <t xml:space="preserve">Control No. 1: Se evidencia que la OAP.- Oficina Asesora de Planeación realizó el seguimiento a las siguientes herramientas de gestión: Plan de Acción, Indicadores, Plan de Mejoramiento y Mapas de Riesgo, así mismo se tienen los link en sharepoint que dan evidencia de las actividades de seguimiento realizadas.
Control No. 2: El proceso reporta que durante el periodo no se detectaron reportes errados por lo tanto no hubo necesidad de aplicación del control. 
Control No. 2: El proceso reporta que durante el periodo no se detectaron reportes errados por lo tanto no hubo necesidad de aplicación del control.
Acciones de Fortalecimiento: Se observa que se presentaron  en Comité Institucional de Gestión y Desempeño; los siguientes temas Acta del 23-11-2022: Balance seguimiento implementación rediseño institucional, balance metas, - proyectos- plan de acción, balance ejecución presupuestal, lineamientos presupuesto 2023, buenas practicas comunicación organizacional, y otra sesión virtual Acta del 20-12-2022 en donde se aprobó la toma física de inventarios y el proyecto de resolución baja de bienes, pero no se presentaron resultados planes de mejoramiento ni los resultados de los mapas de riesgos.
Se recomienda continuar fortaleciendo el control de comunicación de resultados a la Alta dirección resultado del seguimiento que se realizan a todas las herramientas de gestión. 
</t>
  </si>
  <si>
    <t>En caso que se detecte el reporte de  información errada por parte de los procesos, o se detecte la inadecuada implementación de las herramientas para el seguimiento de la gestión,  Los profesionales de la Oficina Asesora de Planeación encargados de la implementación del MIPG realizan mesas de trabajo con los procesos en donde se detectaron las incoinsistencias para capacitar a los responsables y recolectar la información nuevamente.</t>
  </si>
  <si>
    <t>Correctivo</t>
  </si>
  <si>
    <t>En caso que se detecte el reporte de  información errada por parte de los procesos</t>
  </si>
  <si>
    <t>Actas de reunión</t>
  </si>
  <si>
    <t xml:space="preserve">Disminución del Indice de Gestión Institucional </t>
  </si>
  <si>
    <t xml:space="preserve">Inadecuada formulación e  Implementación del Plan de Adecuación y Sostenibilidad </t>
  </si>
  <si>
    <t xml:space="preserve">Posibilidad de afectación reputacional por disminución en el Indice de Gestión Institucional debido a una Inadecuada formulación e  Implementación del Plan de Adecuación y Sostenibilidad </t>
  </si>
  <si>
    <t>El riesgo afecta la imagen de la entidad con algunos usuarios de relevancia frente al logro de los objetivos.</t>
  </si>
  <si>
    <t>Durante los meses de enero y febrero de cada vigencia, Los profesionales de la Oficina Asesora de Planeación encargados de la implementación del MIPG realizan el acompañamiento a los procesos par el diligenciamiento de los autodiagnósticos de cada politica de gestión, verificando que se formulen actividades para aquellos aspectos que presenten una calificación menor al 100%.</t>
  </si>
  <si>
    <t>Preventivo</t>
  </si>
  <si>
    <t>Durante los meses de enero y febrero de cada vigencia</t>
  </si>
  <si>
    <t>ACEPTAR EL RIESGO</t>
  </si>
  <si>
    <t>No se formulan actividades</t>
  </si>
  <si>
    <t>Control No.1: No se aplico el control en el periodo evaluado, toda vez que el mismo se ejecuta en el primer cuatrimestre del año y se reporto en el primer seguimiento.
Control No. 2: Durante el periodo evaluado no se aplicó el control, toda vez que los resultados se recibieron en el primer semestre y la aplicación se reporto en el segundo cuatrimestre.
Control No. 3: Durante el periodo no se aplico el control por que éste solo se ejecuta cuando se habilita la herramienta y esto ocurrió en el primer cuatrimestre. la aplicación del control se reportó en el primer seguimiento
Control No. 4:  Durante el periodo no se aplico el control por que éste solo se ejecuta cuando se habilita la herramienta y esto ocurrió en el primer cuatrimestre. la aplicación del control se reportó en el primer seguimiento
Control No. 5: Durante el periodo evaluado, el proceso realizó el envio de alertas relacionadas con las acciones del Plan de Acción que se encuentran vencidas o que se encuentran con un avance por debajo del esperado. Es importante mencionar que las acciones del Plan de Adecuación se encuentran iinmersas en el Plan de Acción Institucional.</t>
  </si>
  <si>
    <t>No se formularon actividads</t>
  </si>
  <si>
    <t>Controles 1, 2, 3 y 4 El proceso no reporta su ejecución durante el tercer cuatrimestre por cuanto se ejecutó en el primer semestre del año.
Control No. 5: Se evidencia el envío de alertas a los procesos de las actividades que presentan un avance por debajo del esperado. Se sugiere al proceso revisar el diseño del control de manera que se pueda evidenciar de manera fácil el segumiento al plan de adecuación y ola generación de alertas relacionadas con el plan de adecuación.</t>
  </si>
  <si>
    <t xml:space="preserve">Control No.1: Se observa que para el periodo evaluado  la OAP  no aplico el control, toda vez que esté fue ejecutado en el primer cuatrimestre del año y las evidencias fueron reportadas en el primer seguimiento.
Control No. 2: Este control fue aplicado en el primer semestre y los resultados se reportaron en el segundo cuatrimestre.
Control No. 3: Se observa que para el periodo evaluado  la OAP  no aplico el control, toda vez que éste solo se ejecuta cuando se habilita la herramienta FURAG II y esto ocurrió en el primer cuatrimestre. la aplicación del control se reportó en el primer seguimiento
Control No. 4:  Se observa que para el periodo evaluado  la OAP  no aplico el control, toda vez que éste solo se ejecuta cuando se habilita la herramienta  FURAG II y esto ocurrió en el primer cuatrimestre la aplicación del control se reportó en el primer seguimiento
Control No. 5: El proceso informa que realizó el envío de alertas relacionadas con las acciones del Plan de Acción que se encuentran vencidas o que se encuentran con un avance por debajo del esperado. Sin embargo el proceso no adjunta evidencias que permitan constatar esta información.
Acciones de fortalecimiento: No se formularon acciones 
Se recomienda que el proceso adjunte las evidencias que permitan observar el cumplimiento de las actividades.
</t>
  </si>
  <si>
    <t>Cada vez que se reciben los resultados del Indice de Gestión Institucional, los profesionales de la Oficina Asesora de Planeación encargados de la implementación del MIPG realizan el acompañamiento a los procesos en el analisis de los resultados y recomendaciones, verificando que se formulen actividades para aquellas recomendaciones que se pueden implementar durante la vigencia</t>
  </si>
  <si>
    <t>Cada vez que se reciben los resultados del Indice de Gestión Institucional</t>
  </si>
  <si>
    <t>Sharepoint con los autodiagnósticos diligenciados</t>
  </si>
  <si>
    <t>Cada año,  cuando se habilite la herramienta para dar respuesta a las preguntas del FURAG,  los profesionales de la Oficina Asesora de Planeación encargados de la implementación del MIPG formulan una metodología que permita verificar las respuestas que se van a dar a cada una de las preguntas que componene el FURAG.</t>
  </si>
  <si>
    <t>Cada año,  cuando se habilite la herramienta para dar respuesta a las preguntas del FURAG</t>
  </si>
  <si>
    <t>Correo electrónico</t>
  </si>
  <si>
    <t>En caso de que los resultados del Indice de Gestión Institucional presenten una disminución frente a los obtenidos en la vigencia anterior,   los profesionales de la Oficina Asesora de Planeación encargados de la implementación del MIPG realizan el analisis de los resultados obtenidos, realizan mesas de trabajo con los procesos líderes de las politicas para ajustar el plan de adecuación e incluir actividades que contribuyan al mejoramiento de la calificación obtenida</t>
  </si>
  <si>
    <t>En caso de que los resultados del Indice de Gestión Institucional presenten una disminución frente a los obtenidos en la vigencia anterior</t>
  </si>
  <si>
    <t>Actas de reunión - Plan de Adecuación ajustado</t>
  </si>
  <si>
    <t>Cuando producto del seguimiento al  Plan de Adecuación, se evidencia incumplimiento o un cunmplimiento bajo respecto a lo esperado, el jefe de la OAP , envía correo electrónico con las alertas respectivas  para que se  realicen las actividades necesarias encaminadas al cumplimiento de lo planeado o al ajustes de la planeación.</t>
  </si>
  <si>
    <t>Cuando se evidencia incumplimiento o un cumplimiento bajo respecto a lo esperado</t>
  </si>
  <si>
    <t>Correos Electrónicos</t>
  </si>
  <si>
    <t>area de impacto</t>
  </si>
  <si>
    <t>PROBABILIDAD DE OCURRENCIA</t>
  </si>
  <si>
    <t>IMPACTO</t>
  </si>
  <si>
    <t>CONDICIONES RIESGO INHERENTE</t>
  </si>
  <si>
    <t>AFECTACIÓN ECONÓMICA O PRESUPUESTAL</t>
  </si>
  <si>
    <t>Económico</t>
  </si>
  <si>
    <t>MUY BAJA</t>
  </si>
  <si>
    <t>LEVE</t>
  </si>
  <si>
    <t>MUY BAJA - LEVE</t>
  </si>
  <si>
    <t>BAJO</t>
  </si>
  <si>
    <t>Afectación Menor a 700 SMLMV</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</si>
  <si>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</si>
  <si>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</si>
  <si>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</si>
  <si>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</si>
  <si>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</si>
  <si>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</si>
  <si>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</si>
  <si>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</si>
  <si>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</si>
  <si>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</si>
  <si>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</si>
  <si>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</si>
  <si>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</si>
  <si>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</si>
  <si>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</si>
  <si>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</si>
  <si>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</si>
  <si>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</si>
  <si>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</si>
  <si>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</si>
  <si>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</si>
  <si>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</si>
  <si>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</si>
  <si>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</si>
  <si>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</si>
  <si>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</si>
  <si>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</si>
  <si>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</si>
  <si>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El riesgo afecta la imagen de algún área de la organización.</t>
  </si>
  <si>
    <t>BAJA - MAYOR</t>
  </si>
  <si>
    <t>BAJA - CATASTRÓFICO</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</si>
  <si>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</si>
  <si>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</si>
  <si>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</si>
  <si>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</si>
  <si>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</si>
  <si>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</si>
  <si>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</si>
  <si>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</si>
  <si>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</si>
  <si>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</si>
  <si>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</si>
  <si>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</si>
  <si>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</si>
  <si>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</si>
  <si>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</si>
  <si>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</si>
  <si>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</si>
  <si>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</si>
  <si>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</si>
  <si>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</si>
  <si>
    <t>EVALUACION A LA GESTIÓN</t>
  </si>
  <si>
    <t>Evaluar el nivel de desarrollo y grado de efectividad del Sistema de Control Interno, mediante la revisión, evaluación y seguimiento a la gestión de los procesos con un enfoque basado en riesgos, para generar alertas y recomendaciones que contribuyan al mejoramiento continuo, en el marco de los roles establecidos para las oficinas de control interno.</t>
  </si>
  <si>
    <t>Inicia con planeación y planificación del Plan Anual de Auditorías, seguido de la ejecución de actividades y autoevaluación al proceso para finalizar con la presentación de los resultados de la evaluación del Sistema de Control Interno al Comité Institucional de Coordinación de Control Interno, el seguimiento a los planes de mejoramiento y a los compromisos establecidos.</t>
  </si>
  <si>
    <t>Causa Raíz</t>
  </si>
  <si>
    <t>Observación de Impacto</t>
  </si>
  <si>
    <t>Reporte De La Ejecución De Las Acciones Para El Fortalecimiento Del Riesgo</t>
  </si>
  <si>
    <t>i</t>
  </si>
  <si>
    <t>errada información</t>
  </si>
  <si>
    <t>No recibir información 
Entrega inoportuna o incompleta  de información
Integridad de la Información</t>
  </si>
  <si>
    <t>Posibilidad de afectación reputacional por emitir opinión equivocada de la evaluación de la gestión debido a debilidades en la integridad de la información analizada</t>
  </si>
  <si>
    <t>Cada vez que se requiere información a los procesos, el líder de la actividad de evaluación de la gestión coteja la información recibida contra la requerida por la OCI, en caso de detectar falta de información se requiere al líder del proceso auditado para que sea ajustada.</t>
  </si>
  <si>
    <t>002 Trámite de Información para Informes de Obligatorio Cumplimiento S-EVG-PR-002</t>
  </si>
  <si>
    <t>Cada vez que se requiere información</t>
  </si>
  <si>
    <t>Solicitudes de complementación de información</t>
  </si>
  <si>
    <t xml:space="preserve">Documentar los controles en la actualización de los documentos del proceso </t>
  </si>
  <si>
    <t xml:space="preserve">Jefe de Oficina </t>
  </si>
  <si>
    <t xml:space="preserve">1. Durante el periodo se realizó una solicitud de complementación  de información, como evidencia se adjunta el correo enviado desde la jefatura </t>
  </si>
  <si>
    <t xml:space="preserve">Se documento esta actividad en el borrador de la versión 8 del procedimiento de Auditorías Internas, como evidencia  se aporta el documento borrador.   </t>
  </si>
  <si>
    <t>Aunque se avanzó en las acciones de fortalecimiento, dado que de conformidad con los lineamientos del SIGID, finalizando la vigencia 2022 no recibieron solicitudes de actualización de documentos, salvo casos excepcionales; para el caso de este proceso solo se priorizó la formalización de la Caracterización y el Manual Estatuto de Auditoria, por lo que la formalización se realizará en el año 2023</t>
  </si>
  <si>
    <r>
      <rPr>
        <sz val="10"/>
        <color rgb="FF000000"/>
        <rFont val="Times New Roman"/>
        <family val="1"/>
      </rPr>
      <t>Control No. 1: Se evidencia la aplicación del control  y como evidencia se adjunta correo en donde se solicita al lider del proceso completar la información solicitada.
Control No.2: Teniendo en cuenta que no se matreializó el riesgo, no hubo necesidad de aplicar el control.
Acciones de Fortalecimiento: El proceso reporta la documentaci´n de la actividad en el borrador de procedimiento de auditorias internas, sin embargo, no se evidenció en el documento un punto de control relacionado con el control "L</t>
    </r>
    <r>
      <rPr>
        <i/>
        <sz val="10"/>
        <color rgb="FF000000"/>
        <rFont val="Times New Roman"/>
        <family val="1"/>
      </rPr>
      <t>a jefatura de Control Interno al momento de detectar una opinión equivocada, procederá a emitir un alcance o corrección de la misma</t>
    </r>
    <r>
      <rPr>
        <sz val="10"/>
        <color rgb="FF000000"/>
        <rFont val="Times New Roman"/>
        <family val="1"/>
      </rPr>
      <t xml:space="preserve">" </t>
    </r>
  </si>
  <si>
    <t>Control 1. El proceso aporta como evidencia una comunicación solicitando, al proceso auditado, una ampliación de la información requerida, cumpliendo, así, con la aplicación del control.
Control 2. En este cuatrimestre no se requirió la aplicación del control.
Acción de Fortalecimiento 1. El proceso aporta como evidencia un borrador de ajuste a la caracterización del proceso, mostrando avances en la ejecución de esta actividad de fortalecimiento.
No se materializó el riesgo en el tercer cuatrimestre.</t>
  </si>
  <si>
    <t xml:space="preserve">La jefatura de Control Interno al momento de detectar una opinión equivocada, procederá a emitir un alcance o corrección de la misma </t>
  </si>
  <si>
    <t xml:space="preserve">Cada vez que se presente </t>
  </si>
  <si>
    <t xml:space="preserve">Alcance o corrección </t>
  </si>
  <si>
    <t>2. No se materializo el riesgo y por lo tanto no se ejecutaron acciones correctivas</t>
  </si>
  <si>
    <t>Sanciones</t>
  </si>
  <si>
    <t>Debilidades en el seguimiento y control a la ejecución del PAA
Entrega inoportuna o incompleta de información</t>
  </si>
  <si>
    <t>Posibilidad de afectación reputacional por Incumplimiento de los informes de ley debido a Debilidades en el seguimiento y control a la ejecución del PAA. Entrega inoportuna o incompleta de información</t>
  </si>
  <si>
    <t xml:space="preserve">La jefatura de Control Interno mensualmente realiza reunión con el equipo de la Oficina en la que se realiza seguimiento a la ejecución del PAA, y se verifican lo informes de Ley emitidos el mes anterior y que se deben emitir en el mes actual y en el siguiente, generando acta con compromisos y decisiones </t>
  </si>
  <si>
    <t xml:space="preserve">Mensualmente </t>
  </si>
  <si>
    <t xml:space="preserve">Acta y presentación </t>
  </si>
  <si>
    <t>Jefe de Oficina</t>
  </si>
  <si>
    <t>01/09/2022 al 31/12/2022</t>
  </si>
  <si>
    <t xml:space="preserve">1. Se han realizado las reuniones mensuales con el equipo de la OCI y en las mismas se realiza seguimiento a todas las actividades del PAA incluidos los informes de ley. y se realiza seguimiento a compromisos,   Como evidencia se aportan las actas y listados de asistencia de las reuniones
</t>
  </si>
  <si>
    <t xml:space="preserve">Se incluyeron las actividades en el borrador de la versión 8 del procedimiento de Auditorías Internas, como evidencia  se aporta el documento borrador.   
  </t>
  </si>
  <si>
    <t>Control No. 1: Se evidencia la reunion mensual con el equipo para revisar el seguimiento a la ejecución del Plan de Auditorías lo cual contribuye a mitigar el riesgo.
Control No. 2:  Se evidencia la aplicación del contol y su reporte en el formato establecido. 
Control No.3: Debido a que no se materializó el riesgo, no fue necesario aplicar el control.</t>
  </si>
  <si>
    <t>Control 1. El proceso aporta, como evidencia, presentación en Power Point y listas de asistencia a las reuniones mensuales del equipo de auditoría, para el seguimiento a la ejecución del Plan Anual de Auditoría, confirmándose, así, la aplicación adecuada del control propuesto.
Control 2. El proceso aporta matriz de seguimiento a la ejecución del Plan Anual de Auditoría, y correos con las instrucciones para su diligenciamiento, por parte del equipo auditor, cumpliendo, así, con la aplicación del control propuesto.
El proceso no aporta evidencias del control, por no haberse presentado, durante el tercer cuatrimestre, incumplimientos de los informes de Ley.
Acción de Fortalecimiento 1. El proceso aporta como evidencia un borrador de ajuste a la caracterización del proceso, mostrando avances en la ejecución de esta actividad de fortalecimiento.
No se materializó el riesgo en el tercer cuatrimestre.</t>
  </si>
  <si>
    <t xml:space="preserve">La funcionaria o contratista asignada mensualmente realiza seguimiento a los avances de la ejecución del PAA reportada por el equipo auditor y lo registra en formato de seguimiento,  generando alertamientos frente a posibles retrasos </t>
  </si>
  <si>
    <t xml:space="preserve">Formato de seguimiento al PAA </t>
  </si>
  <si>
    <t>2. La contratista asignada realizó el seguimiento mensual a la ejecución del PAA, como evidencia se aporta  el formato de seguimiento y copia digital de correos de reporte a la jefatura</t>
  </si>
  <si>
    <t xml:space="preserve">La jefatura de Control Interno cuando al momento de evidenciar el incumplimiento de algún informe de ley procederá a emitir el informe respectivo </t>
  </si>
  <si>
    <t xml:space="preserve">Informe de ley emitido </t>
  </si>
  <si>
    <t>3. No se materializo el riesgo y por lo tanto no se ejecutaron acciones correctivas</t>
  </si>
  <si>
    <t>CONTROL INTERNO DISCIPLINARIO</t>
  </si>
  <si>
    <t>Ejercer el control disciplinario sobre la conducta de los servidores públicos del IDIPRON, en el cumplimiento de sus deberes funcionales, a través de medidas de corrección o de prevención, con el fin de garantizar los principios de eficiencia moralidad economía y transparencia</t>
  </si>
  <si>
    <t>La actuación Disciplinaria se origina con la recepción de información proveniente de un servidor público, por queja formulada por cualquier persona, por anónimos o por otro medio que amerite credibilidad y finaliza con cualquiera de las siguientes decisiones: un auto 
inhibitorio, un auto de archivo definitivo, un auto de remisión por competencia y el correspondiente fallo sancionatorio o absolutorio en primera instancia. Esta Actuación está destinada a los servidores públicos del IDIPRON aunque se encuentren retirados del servicio.</t>
  </si>
  <si>
    <t>no ejercer el control disciplinario sobre la conducta de los servidores</t>
  </si>
  <si>
    <t>Indebida aplicación de la norma disciplinaria vigente</t>
  </si>
  <si>
    <t>Posibilidad de afectación reputacional del área debido a no ejercer el control disciplinario sobre la conducta de los servidores ocasionada por la indebida aplicación de la norma disciplinaria vigente</t>
  </si>
  <si>
    <t xml:space="preserve">El Jefe de la Oficina de Control Disciplinario Interno y su equipo de trabajo mensualmente realizan la verificación en cada uno de los expedientes, de las diferentes etapas del proceso disciplinario mediante matriz excel que permite analizar y determinar los procesos a priorizar, evaluando la aplicación de la norma disciplinaria y determinar las respectivas acciones que logren mayor celeridad y eficacia  del  grupo de trabajo. </t>
  </si>
  <si>
    <t>Mensual</t>
  </si>
  <si>
    <t>Informe mensual del analisis realizado</t>
  </si>
  <si>
    <t>Realizar mesas de trabajo con la Oficina de Tics para estudiar la posibilidad de implementar backups automaticos a la información producida por la Oficina</t>
  </si>
  <si>
    <t>Jefe Oficina de Control Disciplinario Interno</t>
  </si>
  <si>
    <r>
      <rPr>
        <sz val="10"/>
        <color rgb="FF000000"/>
        <rFont val="Times New Roman"/>
        <family val="1"/>
      </rPr>
      <t xml:space="preserve">
</t>
    </r>
    <r>
      <rPr>
        <b/>
        <sz val="10"/>
        <color rgb="FF000000"/>
        <rFont val="Times New Roman"/>
        <family val="1"/>
      </rPr>
      <t>CONTROL 1.  El Jefe de la Oficina de Control Disciplinario Interno y su equipo de trabajo mensualmente realizan la verificación en cada uno de los expedientes, de las diferentes etapas del proceso disciplinario mediante matriz excel que permite analizar y determinar los procesos a priorizar, evaluando la aplicación de la norma disciplinaria y determinar las respectivas acciones que logren mayor celeridad y eficacia  del  grupo de trabajo.</t>
    </r>
    <r>
      <rPr>
        <sz val="10"/>
        <color rgb="FF000000"/>
        <rFont val="Times New Roman"/>
        <family val="1"/>
      </rPr>
      <t xml:space="preserve">El día 14 de septiembre de 2022 se realizó la verificación de los expedientes activos que cursan en la Oficina de Cintrol Disciplinario Interno, con cada una de las profesionales para realizar control de términos conforme a la Ley 1952 de 2019, y así priorizar los temas que se requieran. 
El día 26 de septiembre de 2022 se realizó la verificación de los expedientes activos que cursan en la Oficina de Control Disciplinario Interno, con cada una de las profesionales para realizar control de términos conforme a la Ley 1952 de 2019, y así priorizar los temas que se requieran. 
los días 9, 10 y 11 de noviembre de 2022, se realizó la verificación de los expedientes activos que cursan en la Oficina de Cintrol Disciplinario Interno, con cada una de las profesionales para realizar control de términos conforme a la Ley 1952 de 2019, y así priorizar los temas que se requieran. 
Es de aclarar que la matriz de excel de los expedientes disciplinarios y el  back up que se realizan a las actuaciones disciplnarias y la base de datos de los expedientes, no se pueden subir como evidencias, debido a que dicha información tiene reserva, conforme al artículo 115 de la Ley 1952 de 2019
</t>
    </r>
    <r>
      <rPr>
        <b/>
        <sz val="10"/>
        <color rgb="FF000000"/>
        <rFont val="Times New Roman"/>
        <family val="1"/>
      </rPr>
      <t>CONTROL 2</t>
    </r>
    <r>
      <rPr>
        <sz val="10"/>
        <color rgb="FF000000"/>
        <rFont val="Times New Roman"/>
        <family val="1"/>
      </rPr>
      <t xml:space="preserve">.Cada profesional realizó backup de todos los expedientes disciplinarios que tiene a su cargo, dicho backup se consolida en la carpeta compartida, cuya ruta de acceso es: oficina_control (\\derry); a la cual solo tienen acceso 3 integrantes de la oficina de Control Disciplinario Interno
  </t>
    </r>
  </si>
  <si>
    <t>Frente a la primera acción de fortalecimiento, se realizó la digitalización de los expedientes disciplinarios activos, producto del back up que se realizó con el área de sistemas. el acceso a ese back up solo lo tienen 3 integrantes de la oficina.
Frente a la segunta acción de fortalecimiento, se realizó la revisión y actualización de los procedimientos de proceso Instrucción y Juzgamiento de Procesos Disciplinarios, los cuales son: 
001 SEGUIMIENTO A SANCIONES PARA FUNCIONARIOS Y EX FUNCIONARIOS DE PLANTA S-IJPD-PR-001
002 DENUNCIAS POR ACTOS DE CORRUPCION A-CID-PR-002
003 PRIMERA INSTANCIA ORDINARIO S-IJPD-PR-003
004 PROCEDIMIENTO SEGUNDA INSTANCIA DISCIPLINARIO S-IJPD-PR-004</t>
  </si>
  <si>
    <t>Debido a que el riego de corrupción no se materializó, no se requirió realizar acciones de contingencia.</t>
  </si>
  <si>
    <t>Control No. 1: Se evidencia la verificación del estado de los expedientes con los profesionales de la Oficina de Control Disciplinario Interno.
Control No 2: El proceso reporta la realización del Backup  de cad auno de los equipos de los funcionarios y contratistas de la Oficina de Control Disciplinario Interno. Sin embargo no se adjntan evidencias que permitan establecer la aplicación del control.
Acciones de Fortalecimiento No.1: Con el reporte realizado y las evidencias aportadas s epuede evidenciar que el proceso realizó la digitalización de los expedientes disciplinarios, sin embargo, la acción esta encaminada a determinar la posibilidad de realizar backups automaticos y sobre este particular no se preenta ningun avance.
Acciones de Fortalecimiento No.2:  No se reporta avance en el cuatrimestre para la actividad No.2 
Acciones de Fortalecimiento No.3: Si bien el proceso reporta la actualización documental del proceso, en dichos documento no se hace referenca a los controles definidos para el riesgo.</t>
  </si>
  <si>
    <r>
      <rPr>
        <u/>
        <sz val="10"/>
        <color rgb="FF000000"/>
        <rFont val="Times New Roman"/>
        <family val="1"/>
      </rPr>
      <t>Evaluación de ejecución de actividades de control</t>
    </r>
    <r>
      <rPr>
        <sz val="10"/>
        <color rgb="FF000000"/>
        <rFont val="Times New Roman"/>
        <family val="1"/>
      </rPr>
      <t xml:space="preserve">: Se evidenció la aplicación del control a través de las actas de las reuniones convocadas por el Jefe de la Oficina de Control Interno a los profesionales de la Oficina, en las que se hace constar la verificación de los expedientes disciplinarios, para realizar el control de términos conforme a la Ley 1952 de 2019, y así priorizar los temas requeridos. 
</t>
    </r>
    <r>
      <rPr>
        <u/>
        <sz val="10"/>
        <color rgb="FF000000"/>
        <rFont val="Times New Roman"/>
        <family val="1"/>
      </rPr>
      <t>Evaluación de acciones para el fortalecimiento de los controles</t>
    </r>
    <r>
      <rPr>
        <sz val="10"/>
        <color rgb="FF000000"/>
        <rFont val="Times New Roman"/>
        <family val="1"/>
      </rPr>
      <t>: Para la primera acción el proceso adjunto pantallazo de los expedientes digitalizados dispuestos en una carpeta compartida de la oficina, sin embargo, la evidencia no permite concluir el cumplimiento de la acción como quiera que la misma se definió en términos de: "</t>
    </r>
    <r>
      <rPr>
        <i/>
        <sz val="10"/>
        <color rgb="FF000000"/>
        <rFont val="Times New Roman"/>
        <family val="1"/>
      </rPr>
      <t xml:space="preserve">realizar mesas de trabajo con la Oficina de Tics para estudiar la posibilidad de implementar backups automáticos a la información producida por la Oficina".
</t>
    </r>
    <r>
      <rPr>
        <sz val="10"/>
        <color rgb="FF000000"/>
        <rFont val="Times New Roman"/>
        <family val="1"/>
      </rPr>
      <t xml:space="preserve">En relación con la segunda acción no se aportaron evidencias.
Para la tercera acción no se aportó evidencia que permita concluir el cumplimiento de la misma.
</t>
    </r>
    <r>
      <rPr>
        <u/>
        <sz val="10"/>
        <color rgb="FF000000"/>
        <rFont val="Times New Roman"/>
        <family val="1"/>
      </rPr>
      <t>Materialización de riesgos</t>
    </r>
    <r>
      <rPr>
        <sz val="10"/>
        <color rgb="FF000000"/>
        <rFont val="Times New Roman"/>
        <family val="1"/>
      </rPr>
      <t xml:space="preserve">: No se reportó la materialización del riesgo.
</t>
    </r>
  </si>
  <si>
    <t>Elaborar un diagnóstico de las medidas de seguridad que se deben implementar en la oficina para la custodia de los expedientes.</t>
  </si>
  <si>
    <t>Mensualmente cada profesional realiza un backup de las decisiones proferidas en un disco externo que es custodiado por la auxiliar administrativa asignada a la oficina, con el fin de evitar la pérdida de información que pueda ocasionar que el proceso no pueda ejercer el control disciplinario.</t>
  </si>
  <si>
    <t>Discos externos con la información</t>
  </si>
  <si>
    <t>Realizar la revisión de los procedimientos del proceso y documentar los puntos de control establecidos</t>
  </si>
  <si>
    <r>
      <rPr>
        <u/>
        <sz val="10"/>
        <color rgb="FF000000"/>
        <rFont val="Times New Roman"/>
        <family val="1"/>
      </rPr>
      <t>Evaluación de ejecución de actividades de control</t>
    </r>
    <r>
      <rPr>
        <sz val="10"/>
        <color rgb="FF000000"/>
        <rFont val="Times New Roman"/>
        <family val="1"/>
      </rPr>
      <t xml:space="preserve">: No se evidenció la aplicación del control dado que no se aportó soporte que permita demostrar que se realizaron los  backup de las decisiones proferidas en un disco externo custodiado por la auxiliar administrativa asignada a la oficina, de conformidad con lo definido en el control.
</t>
    </r>
    <r>
      <rPr>
        <u/>
        <sz val="10"/>
        <color rgb="FF000000"/>
        <rFont val="Times New Roman"/>
        <family val="1"/>
      </rPr>
      <t>Evaluación de acciones para el fortalecimiento de los controles</t>
    </r>
    <r>
      <rPr>
        <sz val="10"/>
        <color rgb="FF000000"/>
        <rFont val="Times New Roman"/>
        <family val="1"/>
      </rPr>
      <t xml:space="preserve">: Para la primera acción el proceso adjunto pantallazo de los expedientes digitalizados dispuestos en una carpeta compartida de la oficina, sin embargo, la evidencia no permite concluir el cumplimiento de la acción como quiera que la misma se definió en términos de: "realizar mesas de trabajo con la Oficina de Tics para estudiar la posibilidad de implementar backups automáticos a la información producida por la Oficina".
En relación con la segunda acción no se aportaron evidencias.
Para la tercera acción no se aportó evidencia que permita concluir el cumplimiento de la misma.
</t>
    </r>
    <r>
      <rPr>
        <u/>
        <sz val="10"/>
        <color rgb="FF000000"/>
        <rFont val="Times New Roman"/>
        <family val="1"/>
      </rPr>
      <t>Materialización de riesgos</t>
    </r>
    <r>
      <rPr>
        <sz val="10"/>
        <color rgb="FF000000"/>
        <rFont val="Times New Roman"/>
        <family val="1"/>
      </rPr>
      <t xml:space="preserve">: No se reportó la materialización del riesgo.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</si>
</sst>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21" x14ac:knownFonts="1">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b/>
      <sz val="14"/>
      <color theme="1"/>
      <name val="Times New Roman"/>
      <family val="1"/>
    </font>
    <font>
      <sz val="10"/>
      <color rgb="FF000000"/>
      <name val="Times New Roman"/>
      <family val="1"/>
    </font>
    <font>
      <b/>
      <sz val="10"/>
      <color rgb="FF000000"/>
      <name val="Times New Roman"/>
      <family val="1"/>
    </font>
    <font>
      <sz val="10"/>
      <color rgb="FF000000"/>
      <name val="Times New Roman"/>
      <family val="1"/>
      <charset val="1"/>
    </font>
    <font>
      <i/>
      <sz val="10"/>
      <color rgb="FF000000"/>
      <name val="Times New Roman"/>
      <family val="1"/>
    </font>
    <font>
      <sz val="12"/>
      <color rgb="FF000000"/>
      <name val="Times New Roman"/>
      <family val="1"/>
    </font>
    <font>
      <b/>
      <sz val="9"/>
      <color indexed="81"/>
      <name val="Tahoma"/>
      <family val="2"/>
    </font>
    <font>
      <sz val="9"/>
      <color indexed="81"/>
      <name val="Tahoma"/>
      <family val="2"/>
    </font>
    <font>
      <u/>
      <sz val="10"/>
      <color rgb="FF000000"/>
      <name val="Times New Roman"/>
      <family val="1"/>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style="thin">
        <color indexed="64"/>
      </top>
      <bottom/>
      <diagonal/>
    </border>
    <border>
      <left style="medium">
        <color indexed="64"/>
      </left>
      <right style="medium">
        <color rgb="FF000000"/>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style="medium">
        <color indexed="64"/>
      </right>
      <top/>
      <bottom style="thin">
        <color rgb="FF000000"/>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indexed="64"/>
      </right>
      <top style="thin">
        <color rgb="FF000000"/>
      </top>
      <bottom/>
      <diagonal/>
    </border>
    <border>
      <left/>
      <right/>
      <top style="thin">
        <color rgb="FF000000"/>
      </top>
      <bottom/>
      <diagonal/>
    </border>
    <border>
      <left style="medium">
        <color indexed="64"/>
      </left>
      <right style="thin">
        <color indexed="64"/>
      </right>
      <top style="thin">
        <color rgb="FF000000"/>
      </top>
      <bottom style="thin">
        <color indexed="64"/>
      </bottom>
      <diagonal/>
    </border>
    <border>
      <left style="thin">
        <color indexed="64"/>
      </left>
      <right style="medium">
        <color indexed="64"/>
      </right>
      <top style="thin">
        <color rgb="FF000000"/>
      </top>
      <bottom/>
      <diagonal/>
    </border>
    <border>
      <left style="thin">
        <color rgb="FF000000"/>
      </left>
      <right style="thin">
        <color rgb="FF000000"/>
      </right>
      <top/>
      <bottom/>
      <diagonal/>
    </border>
    <border>
      <left style="medium">
        <color indexed="64"/>
      </left>
      <right/>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indexed="64"/>
      </right>
      <top/>
      <bottom style="medium">
        <color rgb="FF000000"/>
      </bottom>
      <diagonal/>
    </border>
    <border>
      <left style="medium">
        <color indexed="64"/>
      </left>
      <right/>
      <top style="thin">
        <color indexed="64"/>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41" fontId="6" fillId="0" borderId="0" applyFont="0" applyFill="0" applyBorder="0" applyAlignment="0" applyProtection="0"/>
  </cellStyleXfs>
  <cellXfs count="338">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textRotation="90" wrapText="1"/>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2" fillId="0" borderId="1" xfId="0" applyFont="1" applyBorder="1" applyAlignment="1">
      <alignment horizontal="justify" vertical="center" wrapText="1"/>
    </xf>
    <xf numFmtId="0" fontId="2" fillId="0" borderId="10" xfId="0" applyFont="1" applyBorder="1" applyAlignment="1">
      <alignment horizontal="justify" vertical="center" wrapText="1"/>
    </xf>
    <xf numFmtId="0" fontId="1" fillId="2" borderId="5" xfId="0" applyFont="1" applyFill="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justify" vertical="center" wrapText="1"/>
    </xf>
    <xf numFmtId="0" fontId="2" fillId="0" borderId="6" xfId="0" applyFont="1" applyBorder="1" applyAlignment="1">
      <alignment horizontal="center" vertical="center" textRotation="90"/>
    </xf>
    <xf numFmtId="0" fontId="2" fillId="0" borderId="6" xfId="0" applyFont="1" applyBorder="1" applyAlignment="1">
      <alignment horizontal="center" vertical="center" textRotation="90" wrapText="1"/>
    </xf>
    <xf numFmtId="0" fontId="2" fillId="0" borderId="21" xfId="0" applyFont="1" applyBorder="1" applyAlignment="1">
      <alignment horizontal="left"/>
    </xf>
    <xf numFmtId="0" fontId="2" fillId="0" borderId="10" xfId="0" applyFont="1" applyBorder="1" applyAlignment="1">
      <alignment horizontal="center" vertical="center" textRotation="90"/>
    </xf>
    <xf numFmtId="0" fontId="2" fillId="0" borderId="10" xfId="0" applyFont="1" applyBorder="1" applyAlignment="1">
      <alignment horizontal="center" vertical="center" textRotation="90" wrapText="1"/>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5" xfId="0" applyFont="1" applyBorder="1" applyAlignment="1">
      <alignment horizontal="justify" vertical="center" wrapText="1"/>
    </xf>
    <xf numFmtId="0" fontId="2" fillId="0" borderId="5" xfId="0" applyFont="1" applyBorder="1" applyAlignment="1">
      <alignment horizontal="center" vertical="center" textRotation="90"/>
    </xf>
    <xf numFmtId="0" fontId="2" fillId="0" borderId="5" xfId="0" applyFont="1" applyBorder="1" applyAlignment="1">
      <alignment horizontal="center" vertical="center" textRotation="90" wrapText="1"/>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6" xfId="0" applyFont="1" applyFill="1" applyBorder="1" applyAlignment="1">
      <alignment horizontal="center" vertical="center"/>
    </xf>
    <xf numFmtId="9" fontId="9" fillId="4" borderId="10"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9" fontId="9" fillId="4" borderId="6"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textRotation="90"/>
    </xf>
    <xf numFmtId="0" fontId="3" fillId="4" borderId="6" xfId="0" applyFont="1" applyFill="1" applyBorder="1" applyAlignment="1">
      <alignment horizontal="center" vertical="center" textRotation="90"/>
    </xf>
    <xf numFmtId="9" fontId="2" fillId="4" borderId="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 xfId="0" applyFont="1" applyFill="1" applyBorder="1" applyAlignment="1">
      <alignment vertical="center" textRotation="90"/>
    </xf>
    <xf numFmtId="0" fontId="2" fillId="4" borderId="16" xfId="0" applyFont="1" applyFill="1" applyBorder="1" applyAlignment="1">
      <alignment vertical="center" textRotation="90"/>
    </xf>
    <xf numFmtId="0" fontId="2" fillId="4" borderId="6" xfId="0" applyFont="1" applyFill="1" applyBorder="1" applyAlignment="1">
      <alignment vertical="center" textRotation="90"/>
    </xf>
    <xf numFmtId="0" fontId="2" fillId="0" borderId="16" xfId="0" applyFont="1" applyBorder="1" applyAlignment="1">
      <alignment horizontal="justify" vertical="center" wrapText="1"/>
    </xf>
    <xf numFmtId="0" fontId="4" fillId="0" borderId="0" xfId="0" applyFont="1" applyAlignment="1">
      <alignment horizontal="left" vertical="center"/>
    </xf>
    <xf numFmtId="0" fontId="11" fillId="0" borderId="0" xfId="0" applyFont="1" applyAlignment="1">
      <alignment horizontal="left" vertical="center"/>
    </xf>
    <xf numFmtId="0" fontId="3" fillId="3" borderId="5" xfId="0" applyFont="1" applyFill="1" applyBorder="1" applyAlignment="1">
      <alignment horizontal="center" vertical="center" wrapText="1"/>
    </xf>
    <xf numFmtId="14" fontId="11" fillId="0" borderId="30" xfId="0" applyNumberFormat="1"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1" fillId="0" borderId="37" xfId="0" applyFont="1" applyBorder="1" applyAlignment="1" applyProtection="1">
      <alignment horizontal="left" vertical="center"/>
      <protection locked="0"/>
    </xf>
    <xf numFmtId="0" fontId="11" fillId="0" borderId="30"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30" xfId="0" applyFont="1" applyBorder="1" applyAlignment="1" applyProtection="1">
      <alignment horizontal="left" vertical="center"/>
      <protection locked="0"/>
    </xf>
    <xf numFmtId="0" fontId="13" fillId="0" borderId="30" xfId="0" applyFont="1" applyBorder="1" applyAlignment="1" applyProtection="1">
      <alignment horizontal="left" vertical="center" wrapText="1"/>
      <protection locked="0"/>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1" fillId="2" borderId="1" xfId="0" applyFont="1" applyFill="1" applyBorder="1" applyAlignment="1">
      <alignment horizontal="center"/>
    </xf>
    <xf numFmtId="9" fontId="3" fillId="4" borderId="10" xfId="0" applyNumberFormat="1" applyFont="1" applyFill="1" applyBorder="1" applyAlignment="1">
      <alignment horizontal="center" vertical="center"/>
    </xf>
    <xf numFmtId="9" fontId="3" fillId="4" borderId="5"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4" borderId="10" xfId="0" applyFont="1" applyFill="1" applyBorder="1" applyAlignment="1">
      <alignment horizontal="center" vertical="center"/>
    </xf>
    <xf numFmtId="0" fontId="3" fillId="4" borderId="5" xfId="0" applyFont="1" applyFill="1" applyBorder="1" applyAlignment="1">
      <alignment horizontal="center" vertical="center"/>
    </xf>
    <xf numFmtId="0" fontId="10" fillId="4" borderId="9" xfId="0" applyFont="1" applyFill="1" applyBorder="1" applyAlignment="1">
      <alignment horizontal="center" vertical="center" textRotation="90"/>
    </xf>
    <xf numFmtId="0" fontId="10" fillId="4" borderId="32" xfId="0" applyFont="1" applyFill="1" applyBorder="1" applyAlignment="1">
      <alignment horizontal="center" vertical="center" textRotation="90"/>
    </xf>
    <xf numFmtId="9" fontId="3" fillId="0" borderId="9" xfId="0" applyNumberFormat="1" applyFont="1" applyBorder="1" applyAlignment="1">
      <alignment horizontal="center" vertical="center" wrapText="1"/>
    </xf>
    <xf numFmtId="9" fontId="3" fillId="0" borderId="32" xfId="0" applyNumberFormat="1" applyFont="1" applyBorder="1" applyAlignment="1">
      <alignment horizontal="center" vertical="center" wrapText="1"/>
    </xf>
    <xf numFmtId="0" fontId="3" fillId="0" borderId="18" xfId="0" applyFont="1" applyBorder="1" applyAlignment="1">
      <alignment horizontal="center" vertical="center"/>
    </xf>
    <xf numFmtId="0" fontId="3" fillId="0" borderId="30" xfId="0" applyFont="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4"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14" fontId="2" fillId="0" borderId="11" xfId="0" applyNumberFormat="1" applyFont="1" applyBorder="1" applyAlignment="1">
      <alignment horizontal="center" vertical="center" wrapText="1"/>
    </xf>
    <xf numFmtId="14" fontId="2" fillId="0" borderId="12" xfId="0" applyNumberFormat="1" applyFont="1" applyBorder="1" applyAlignment="1">
      <alignment horizontal="center" vertical="center" wrapText="1"/>
    </xf>
    <xf numFmtId="41" fontId="3" fillId="0" borderId="9" xfId="1" applyFont="1" applyBorder="1" applyAlignment="1">
      <alignment horizontal="center" vertical="center" wrapText="1"/>
    </xf>
    <xf numFmtId="41" fontId="3" fillId="0" borderId="32" xfId="1" applyFont="1" applyBorder="1" applyAlignment="1">
      <alignment horizontal="center" vertical="center" wrapText="1"/>
    </xf>
    <xf numFmtId="9" fontId="3" fillId="4" borderId="9" xfId="0" applyNumberFormat="1" applyFont="1" applyFill="1" applyBorder="1" applyAlignment="1">
      <alignment horizontal="center" vertical="center"/>
    </xf>
    <xf numFmtId="9" fontId="3" fillId="4" borderId="32" xfId="0" applyNumberFormat="1" applyFont="1" applyFill="1" applyBorder="1" applyAlignment="1">
      <alignment horizontal="center" vertical="center"/>
    </xf>
    <xf numFmtId="0" fontId="1" fillId="0" borderId="19"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9" fontId="3" fillId="4" borderId="1" xfId="0" applyNumberFormat="1" applyFont="1" applyFill="1" applyBorder="1" applyAlignment="1">
      <alignment horizontal="center" vertic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14" fontId="2" fillId="0" borderId="38"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0" fontId="12" fillId="0" borderId="12" xfId="0" applyFont="1" applyBorder="1" applyAlignment="1">
      <alignment horizontal="center" vertical="center" textRotation="90"/>
    </xf>
    <xf numFmtId="0" fontId="12" fillId="0" borderId="14" xfId="0" applyFont="1" applyBorder="1" applyAlignment="1">
      <alignment horizontal="center" vertical="center" textRotation="90"/>
    </xf>
    <xf numFmtId="0" fontId="12" fillId="0" borderId="31" xfId="0" applyFont="1" applyBorder="1" applyAlignment="1">
      <alignment horizontal="center" vertical="center" textRotation="90"/>
    </xf>
    <xf numFmtId="0" fontId="12" fillId="0" borderId="17" xfId="0" applyFont="1" applyBorder="1" applyAlignment="1">
      <alignment horizontal="center" vertical="center" textRotation="90"/>
    </xf>
    <xf numFmtId="41" fontId="3" fillId="0" borderId="5" xfId="1" applyFont="1" applyBorder="1" applyAlignment="1">
      <alignment horizontal="center" vertical="center" wrapText="1"/>
    </xf>
    <xf numFmtId="41" fontId="3" fillId="0" borderId="6" xfId="1" applyFont="1" applyBorder="1" applyAlignment="1">
      <alignment horizontal="center" vertical="center" wrapText="1"/>
    </xf>
    <xf numFmtId="9" fontId="3" fillId="4" borderId="2" xfId="0" applyNumberFormat="1" applyFont="1" applyFill="1" applyBorder="1" applyAlignment="1">
      <alignment horizontal="center" vertical="center"/>
    </xf>
    <xf numFmtId="9" fontId="3" fillId="4" borderId="41" xfId="0" applyNumberFormat="1" applyFont="1" applyFill="1" applyBorder="1" applyAlignment="1">
      <alignment horizontal="center" vertical="center"/>
    </xf>
    <xf numFmtId="9" fontId="3" fillId="4" borderId="27" xfId="0" applyNumberFormat="1" applyFont="1" applyFill="1" applyBorder="1" applyAlignment="1">
      <alignment horizontal="center" vertical="center"/>
    </xf>
    <xf numFmtId="9" fontId="3" fillId="4" borderId="23" xfId="0" applyNumberFormat="1" applyFont="1" applyFill="1" applyBorder="1" applyAlignment="1">
      <alignment horizontal="center" vertical="center"/>
    </xf>
    <xf numFmtId="0" fontId="10" fillId="4" borderId="30" xfId="0" applyFont="1" applyFill="1" applyBorder="1" applyAlignment="1">
      <alignment horizontal="center" vertical="center" textRotation="90"/>
    </xf>
    <xf numFmtId="0" fontId="10" fillId="4" borderId="35" xfId="0" applyFont="1" applyFill="1" applyBorder="1" applyAlignment="1">
      <alignment horizontal="center" vertical="center" textRotation="90"/>
    </xf>
    <xf numFmtId="0" fontId="10" fillId="4" borderId="36" xfId="0" applyFont="1" applyFill="1" applyBorder="1" applyAlignment="1">
      <alignment horizontal="center" vertical="center" textRotation="90"/>
    </xf>
    <xf numFmtId="14" fontId="1" fillId="0" borderId="20" xfId="0" applyNumberFormat="1"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15" fillId="0" borderId="42" xfId="0" applyFont="1" applyBorder="1" applyAlignment="1">
      <alignment horizontal="center" vertical="center" wrapText="1"/>
    </xf>
    <xf numFmtId="0" fontId="1" fillId="0" borderId="20"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11" fillId="0" borderId="30"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36" xfId="0" applyFont="1" applyBorder="1" applyAlignment="1" applyProtection="1">
      <alignment horizontal="left" vertical="center" wrapText="1"/>
      <protection locked="0"/>
    </xf>
    <xf numFmtId="0" fontId="13" fillId="0" borderId="42" xfId="0" applyFont="1" applyBorder="1" applyAlignment="1">
      <alignment horizontal="center" vertical="center" wrapText="1"/>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3" fillId="0" borderId="9" xfId="0" applyFont="1" applyBorder="1" applyAlignment="1">
      <alignment horizontal="center" vertical="center" wrapText="1"/>
    </xf>
    <xf numFmtId="164" fontId="2" fillId="4" borderId="10" xfId="0" applyNumberFormat="1" applyFont="1" applyFill="1" applyBorder="1" applyAlignment="1">
      <alignment horizontal="center" vertical="center"/>
    </xf>
    <xf numFmtId="0" fontId="2" fillId="0" borderId="13" xfId="0" applyFont="1" applyBorder="1" applyAlignment="1">
      <alignment horizontal="justify" vertical="center" wrapText="1"/>
    </xf>
    <xf numFmtId="0" fontId="2" fillId="0" borderId="1" xfId="0" applyFont="1" applyBorder="1" applyAlignment="1">
      <alignment horizontal="justify" vertical="center" wrapText="1"/>
    </xf>
    <xf numFmtId="14" fontId="2" fillId="0" borderId="1" xfId="0" applyNumberFormat="1" applyFont="1" applyBorder="1" applyAlignment="1">
      <alignment horizontal="justify" vertical="center" wrapText="1"/>
    </xf>
    <xf numFmtId="14" fontId="11" fillId="0" borderId="50" xfId="0" applyNumberFormat="1" applyFont="1" applyBorder="1" applyAlignment="1" applyProtection="1">
      <alignment vertical="center"/>
      <protection locked="0"/>
    </xf>
    <xf numFmtId="0" fontId="11" fillId="0" borderId="51" xfId="0" applyFont="1" applyBorder="1" applyAlignment="1" applyProtection="1">
      <alignment vertical="center" wrapText="1"/>
      <protection locked="0"/>
    </xf>
    <xf numFmtId="0" fontId="11" fillId="0" borderId="51"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protection locked="0"/>
    </xf>
    <xf numFmtId="0" fontId="11" fillId="0" borderId="52"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7" fillId="0" borderId="31" xfId="0" applyFont="1" applyBorder="1" applyAlignment="1">
      <alignmen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33" xfId="0" applyFont="1" applyBorder="1" applyAlignment="1">
      <alignment horizontal="center" vertical="center" wrapText="1"/>
    </xf>
    <xf numFmtId="0" fontId="3" fillId="3" borderId="16" xfId="0" applyFont="1" applyFill="1" applyBorder="1" applyAlignment="1">
      <alignment horizontal="center" vertical="center" wrapText="1"/>
    </xf>
    <xf numFmtId="0" fontId="3" fillId="4" borderId="16" xfId="0" applyFont="1" applyFill="1" applyBorder="1" applyAlignment="1">
      <alignment horizontal="center" vertical="center"/>
    </xf>
    <xf numFmtId="9" fontId="3" fillId="4" borderId="16" xfId="0" applyNumberFormat="1" applyFont="1" applyFill="1" applyBorder="1" applyAlignment="1">
      <alignment horizontal="center" vertical="center"/>
    </xf>
    <xf numFmtId="9" fontId="3" fillId="0" borderId="33" xfId="0" applyNumberFormat="1" applyFont="1" applyBorder="1" applyAlignment="1">
      <alignment horizontal="center" vertical="center" wrapText="1"/>
    </xf>
    <xf numFmtId="41" fontId="3" fillId="0" borderId="33" xfId="1" applyFont="1" applyBorder="1" applyAlignment="1">
      <alignment horizontal="center" vertical="center" wrapText="1"/>
    </xf>
    <xf numFmtId="9" fontId="3" fillId="4" borderId="33" xfId="0" applyNumberFormat="1" applyFont="1" applyFill="1" applyBorder="1" applyAlignment="1">
      <alignment horizontal="center" vertical="center"/>
    </xf>
    <xf numFmtId="0" fontId="10" fillId="4" borderId="33" xfId="0" applyFont="1" applyFill="1" applyBorder="1" applyAlignment="1">
      <alignment horizontal="center" vertical="center" textRotation="90"/>
    </xf>
    <xf numFmtId="0" fontId="2" fillId="0" borderId="29" xfId="0" applyFont="1" applyBorder="1" applyAlignment="1">
      <alignment horizontal="left"/>
    </xf>
    <xf numFmtId="164" fontId="2" fillId="4" borderId="16" xfId="0" applyNumberFormat="1" applyFont="1" applyFill="1" applyBorder="1" applyAlignment="1">
      <alignment horizontal="center" vertical="center"/>
    </xf>
    <xf numFmtId="0" fontId="1" fillId="0" borderId="17" xfId="0" applyFont="1" applyBorder="1" applyAlignment="1">
      <alignment horizontal="center" vertical="center" textRotation="90"/>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14" fontId="11" fillId="0" borderId="53" xfId="0" applyNumberFormat="1" applyFont="1" applyBorder="1" applyAlignment="1" applyProtection="1">
      <alignment vertical="center"/>
      <protection locked="0"/>
    </xf>
    <xf numFmtId="0" fontId="11" fillId="0" borderId="54" xfId="0" applyFont="1" applyBorder="1" applyAlignment="1" applyProtection="1">
      <alignment vertical="center" wrapText="1"/>
      <protection locked="0"/>
    </xf>
    <xf numFmtId="0" fontId="11" fillId="0" borderId="54" xfId="0" applyFont="1" applyBorder="1" applyAlignment="1" applyProtection="1">
      <alignment horizontal="center" vertical="center" wrapText="1"/>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wrapText="1"/>
      <protection locked="0"/>
    </xf>
    <xf numFmtId="0" fontId="17" fillId="0" borderId="56" xfId="0" applyFont="1" applyBorder="1" applyAlignment="1">
      <alignment vertical="center" wrapText="1"/>
    </xf>
    <xf numFmtId="0" fontId="3" fillId="0" borderId="3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4" borderId="6" xfId="0" applyFont="1" applyFill="1" applyBorder="1" applyAlignment="1">
      <alignment horizontal="center" vertical="center"/>
    </xf>
    <xf numFmtId="9" fontId="3" fillId="4" borderId="6" xfId="0" applyNumberFormat="1" applyFont="1" applyFill="1" applyBorder="1" applyAlignment="1">
      <alignment horizontal="center" vertical="center"/>
    </xf>
    <xf numFmtId="164" fontId="2" fillId="4" borderId="6" xfId="0" applyNumberFormat="1" applyFont="1" applyFill="1" applyBorder="1" applyAlignment="1">
      <alignment horizontal="center" vertical="center"/>
    </xf>
    <xf numFmtId="0" fontId="1" fillId="0" borderId="12" xfId="0" applyFont="1" applyBorder="1" applyAlignment="1">
      <alignment horizontal="center" vertical="center" textRotation="90"/>
    </xf>
    <xf numFmtId="14" fontId="2" fillId="0" borderId="35" xfId="0" applyNumberFormat="1" applyFont="1" applyBorder="1" applyAlignment="1">
      <alignment horizontal="center" vertical="center" wrapText="1"/>
    </xf>
    <xf numFmtId="0" fontId="11" fillId="0" borderId="57" xfId="0" applyFont="1" applyBorder="1" applyAlignment="1">
      <alignment vertical="center" wrapText="1"/>
    </xf>
    <xf numFmtId="0" fontId="11" fillId="0" borderId="58" xfId="0" applyFont="1" applyBorder="1" applyAlignment="1" applyProtection="1">
      <alignment horizontal="center" vertical="center" wrapText="1"/>
      <protection locked="0"/>
    </xf>
    <xf numFmtId="0" fontId="11" fillId="0" borderId="58" xfId="0" applyFont="1" applyBorder="1" applyAlignment="1" applyProtection="1">
      <alignment horizontal="center" vertical="center"/>
      <protection locked="0"/>
    </xf>
    <xf numFmtId="0" fontId="11" fillId="0" borderId="59"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7" fillId="0" borderId="31" xfId="0" applyFont="1" applyBorder="1" applyAlignment="1">
      <alignment horizontal="left" vertical="center" wrapText="1"/>
    </xf>
    <xf numFmtId="0" fontId="2" fillId="0" borderId="1" xfId="0" applyFont="1" applyBorder="1" applyAlignment="1">
      <alignment horizontal="center" vertical="center" wrapText="1"/>
    </xf>
    <xf numFmtId="164" fontId="2" fillId="4" borderId="1" xfId="0" applyNumberFormat="1" applyFont="1" applyFill="1" applyBorder="1" applyAlignment="1">
      <alignment horizontal="center" vertical="center"/>
    </xf>
    <xf numFmtId="0" fontId="11" fillId="0" borderId="1" xfId="0" applyFont="1" applyBorder="1" applyAlignment="1">
      <alignment vertical="center" wrapText="1"/>
    </xf>
    <xf numFmtId="0" fontId="11" fillId="0" borderId="32"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protection locked="0"/>
    </xf>
    <xf numFmtId="0" fontId="11" fillId="0" borderId="60" xfId="0" applyFont="1" applyBorder="1" applyAlignment="1" applyProtection="1">
      <alignment horizontal="center" vertical="center" wrapText="1"/>
      <protection locked="0"/>
    </xf>
    <xf numFmtId="0" fontId="17" fillId="0" borderId="38" xfId="0" applyFont="1" applyBorder="1" applyAlignment="1">
      <alignment horizontal="left" vertical="center" wrapText="1"/>
    </xf>
    <xf numFmtId="0" fontId="11" fillId="0" borderId="61" xfId="0" applyFont="1" applyBorder="1" applyAlignment="1">
      <alignment vertical="center" wrapText="1"/>
    </xf>
    <xf numFmtId="0" fontId="11" fillId="0" borderId="62" xfId="0" applyFont="1" applyBorder="1" applyAlignment="1" applyProtection="1">
      <alignment horizontal="center" vertical="center" wrapText="1"/>
      <protection locked="0"/>
    </xf>
    <xf numFmtId="0" fontId="11" fillId="0" borderId="62" xfId="0" applyFont="1" applyBorder="1" applyAlignment="1" applyProtection="1">
      <alignment horizontal="center" vertical="center"/>
      <protection locked="0"/>
    </xf>
    <xf numFmtId="0" fontId="11" fillId="0" borderId="63" xfId="0" applyFont="1" applyBorder="1" applyAlignment="1" applyProtection="1">
      <alignment horizontal="center" vertical="center" wrapText="1"/>
      <protection locked="0"/>
    </xf>
    <xf numFmtId="0" fontId="17" fillId="0" borderId="56" xfId="0" applyFont="1" applyBorder="1" applyAlignment="1">
      <alignment horizontal="left" vertical="center" wrapText="1"/>
    </xf>
    <xf numFmtId="0" fontId="4" fillId="0" borderId="21"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4" fillId="0" borderId="0" xfId="0" applyFont="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1" fillId="2" borderId="2" xfId="0" applyFont="1" applyFill="1" applyBorder="1" applyAlignment="1">
      <alignment horizontal="center" vertical="center"/>
    </xf>
    <xf numFmtId="0" fontId="1" fillId="0" borderId="51" xfId="0" applyFont="1" applyBorder="1" applyAlignment="1">
      <alignment horizontal="center" vertical="center"/>
    </xf>
    <xf numFmtId="0" fontId="2" fillId="0" borderId="51" xfId="0" applyFont="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4" borderId="9" xfId="0" applyFont="1" applyFill="1" applyBorder="1" applyAlignment="1">
      <alignment horizontal="center" vertical="center"/>
    </xf>
    <xf numFmtId="0" fontId="2" fillId="0" borderId="9" xfId="0" applyFont="1" applyBorder="1" applyAlignment="1">
      <alignment horizontal="center" vertical="center" textRotation="90"/>
    </xf>
    <xf numFmtId="9" fontId="9" fillId="4" borderId="9" xfId="0" applyNumberFormat="1" applyFont="1" applyFill="1" applyBorder="1" applyAlignment="1">
      <alignment horizontal="center" vertical="center"/>
    </xf>
    <xf numFmtId="0" fontId="2" fillId="0" borderId="5" xfId="0" applyFont="1" applyBorder="1" applyAlignment="1">
      <alignment horizontal="center" vertical="center" textRotation="90"/>
    </xf>
    <xf numFmtId="9" fontId="2" fillId="4" borderId="9" xfId="0" applyNumberFormat="1" applyFont="1" applyFill="1" applyBorder="1" applyAlignment="1">
      <alignment horizontal="center" vertical="center"/>
    </xf>
    <xf numFmtId="0" fontId="2" fillId="4" borderId="9" xfId="0" applyFont="1" applyFill="1" applyBorder="1" applyAlignment="1">
      <alignment horizontal="center" vertical="center" textRotation="90"/>
    </xf>
    <xf numFmtId="0" fontId="3" fillId="4" borderId="9" xfId="0" applyFont="1" applyFill="1" applyBorder="1" applyAlignment="1">
      <alignment horizontal="center" vertical="center" textRotation="90"/>
    </xf>
    <xf numFmtId="9" fontId="2" fillId="4" borderId="9" xfId="0" applyNumberFormat="1" applyFont="1" applyFill="1" applyBorder="1" applyAlignment="1">
      <alignment horizontal="center" vertical="center" textRotation="90"/>
    </xf>
    <xf numFmtId="0" fontId="2" fillId="0" borderId="19" xfId="0" applyFont="1" applyBorder="1" applyAlignment="1">
      <alignment horizontal="center" vertical="center" textRotation="90"/>
    </xf>
    <xf numFmtId="0" fontId="2" fillId="0" borderId="13" xfId="0" applyFont="1" applyBorder="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14" fontId="11" fillId="0" borderId="69" xfId="0" applyNumberFormat="1" applyFont="1" applyBorder="1" applyAlignment="1" applyProtection="1">
      <alignment horizontal="center" vertical="center"/>
      <protection locked="0"/>
    </xf>
    <xf numFmtId="0" fontId="13" fillId="0" borderId="54" xfId="0" applyFont="1" applyBorder="1" applyAlignment="1" applyProtection="1">
      <alignment horizontal="center" vertical="center" wrapText="1"/>
      <protection locked="0"/>
    </xf>
    <xf numFmtId="0" fontId="11" fillId="0" borderId="70" xfId="0" applyFont="1" applyBorder="1" applyAlignment="1" applyProtection="1">
      <alignment horizontal="center" vertical="center" wrapText="1"/>
      <protection locked="0"/>
    </xf>
    <xf numFmtId="0" fontId="11" fillId="0" borderId="71" xfId="0" applyFont="1" applyBorder="1" applyAlignment="1" applyProtection="1">
      <alignment horizontal="center" vertical="center" wrapText="1"/>
      <protection locked="0"/>
    </xf>
    <xf numFmtId="0" fontId="11" fillId="0" borderId="71" xfId="0" applyFont="1" applyBorder="1" applyAlignment="1" applyProtection="1">
      <alignment horizontal="center"/>
      <protection locked="0"/>
    </xf>
    <xf numFmtId="0" fontId="4" fillId="0" borderId="72" xfId="0" applyFont="1" applyBorder="1"/>
    <xf numFmtId="0" fontId="11" fillId="0" borderId="73" xfId="0" applyFont="1" applyBorder="1" applyAlignment="1" applyProtection="1">
      <alignment horizontal="center" vertical="center" wrapText="1"/>
      <protection locked="0"/>
    </xf>
    <xf numFmtId="0" fontId="13" fillId="0" borderId="74" xfId="0" applyFont="1" applyBorder="1" applyAlignment="1" applyProtection="1">
      <alignment horizontal="left" vertical="top" wrapText="1"/>
      <protection locked="0"/>
    </xf>
    <xf numFmtId="0" fontId="2" fillId="0" borderId="36" xfId="0" applyFont="1" applyBorder="1" applyAlignment="1">
      <alignment horizontal="center" vertical="center"/>
    </xf>
    <xf numFmtId="0" fontId="2" fillId="4" borderId="6" xfId="0" applyFont="1" applyFill="1" applyBorder="1" applyAlignment="1">
      <alignment horizontal="center" vertical="center"/>
    </xf>
    <xf numFmtId="0" fontId="2" fillId="0" borderId="6" xfId="0" applyFont="1" applyBorder="1" applyAlignment="1">
      <alignment horizontal="center" vertical="center" textRotation="90"/>
    </xf>
    <xf numFmtId="9" fontId="9" fillId="4" borderId="6" xfId="0" applyNumberFormat="1" applyFont="1" applyFill="1" applyBorder="1" applyAlignment="1">
      <alignment horizontal="center" vertical="center"/>
    </xf>
    <xf numFmtId="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textRotation="90"/>
    </xf>
    <xf numFmtId="0" fontId="3" fillId="4" borderId="6" xfId="0" applyFont="1" applyFill="1" applyBorder="1" applyAlignment="1">
      <alignment horizontal="center" vertical="center" textRotation="90"/>
    </xf>
    <xf numFmtId="9" fontId="2" fillId="4" borderId="6" xfId="0" applyNumberFormat="1" applyFont="1" applyFill="1" applyBorder="1" applyAlignment="1">
      <alignment horizontal="center" vertical="center" textRotation="90"/>
    </xf>
    <xf numFmtId="0" fontId="2" fillId="0" borderId="12" xfId="0" applyFont="1" applyBorder="1" applyAlignment="1">
      <alignment horizontal="center" vertical="center" textRotation="90"/>
    </xf>
    <xf numFmtId="14" fontId="11" fillId="0" borderId="27" xfId="0" applyNumberFormat="1" applyFont="1" applyBorder="1" applyAlignment="1" applyProtection="1">
      <alignment horizontal="center" vertical="center"/>
      <protection locked="0"/>
    </xf>
    <xf numFmtId="0" fontId="11" fillId="0" borderId="75"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35" xfId="0" applyFont="1" applyBorder="1" applyAlignment="1" applyProtection="1">
      <alignment horizontal="center"/>
      <protection locked="0"/>
    </xf>
    <xf numFmtId="0" fontId="11" fillId="0" borderId="13" xfId="0" applyFont="1" applyBorder="1" applyAlignment="1" applyProtection="1">
      <alignment horizontal="center" vertical="center" wrapText="1"/>
      <protection locked="0"/>
    </xf>
    <xf numFmtId="0" fontId="11" fillId="0" borderId="38" xfId="0" applyFont="1" applyBorder="1" applyAlignment="1" applyProtection="1">
      <alignment horizontal="left" vertical="top" wrapText="1"/>
      <protection locked="0"/>
    </xf>
    <xf numFmtId="0" fontId="10" fillId="4" borderId="6" xfId="0" applyFont="1" applyFill="1" applyBorder="1" applyAlignment="1">
      <alignment horizontal="center" vertical="center" textRotation="90"/>
    </xf>
    <xf numFmtId="0" fontId="2" fillId="0" borderId="7" xfId="0" applyFont="1" applyBorder="1" applyAlignment="1">
      <alignment horizontal="left"/>
    </xf>
    <xf numFmtId="0" fontId="2" fillId="0" borderId="14" xfId="0" applyFont="1" applyBorder="1" applyAlignment="1">
      <alignment horizontal="center" vertical="center" textRotation="90"/>
    </xf>
    <xf numFmtId="0" fontId="0" fillId="0" borderId="7" xfId="0" applyBorder="1"/>
    <xf numFmtId="0" fontId="11" fillId="0" borderId="76" xfId="0" applyFont="1" applyBorder="1" applyAlignment="1" applyProtection="1">
      <alignment horizontal="center" vertical="center"/>
      <protection locked="0"/>
    </xf>
    <xf numFmtId="0" fontId="11" fillId="0" borderId="77" xfId="0" applyFont="1" applyBorder="1" applyAlignment="1" applyProtection="1">
      <alignment horizontal="center" vertical="center" wrapText="1"/>
      <protection locked="0"/>
    </xf>
    <xf numFmtId="0" fontId="11" fillId="0" borderId="78" xfId="0" applyFont="1" applyBorder="1" applyAlignment="1" applyProtection="1">
      <alignment horizontal="center" vertical="center" wrapText="1"/>
      <protection locked="0"/>
    </xf>
    <xf numFmtId="0" fontId="11" fillId="0" borderId="79" xfId="0" applyFont="1" applyBorder="1" applyAlignment="1" applyProtection="1">
      <alignment horizontal="center" vertical="center" wrapText="1"/>
      <protection locked="0"/>
    </xf>
    <xf numFmtId="0" fontId="11" fillId="0" borderId="79" xfId="0" applyFont="1" applyBorder="1" applyAlignment="1" applyProtection="1">
      <alignment horizontal="center"/>
      <protection locked="0"/>
    </xf>
    <xf numFmtId="0" fontId="11" fillId="0" borderId="67" xfId="0" applyFont="1" applyBorder="1"/>
    <xf numFmtId="0" fontId="11" fillId="0" borderId="80" xfId="0" applyFont="1" applyBorder="1" applyAlignment="1" applyProtection="1">
      <alignment horizontal="center" vertical="center" wrapText="1"/>
      <protection locked="0"/>
    </xf>
    <xf numFmtId="0" fontId="13" fillId="0" borderId="81" xfId="0" applyFont="1" applyBorder="1" applyAlignment="1" applyProtection="1">
      <alignment vertical="top" wrapText="1"/>
      <protection locked="0"/>
    </xf>
    <xf numFmtId="0" fontId="11" fillId="0" borderId="0" xfId="0" applyFont="1" applyAlignment="1" applyProtection="1">
      <alignment vertical="center" wrapText="1"/>
      <protection locked="0"/>
    </xf>
  </cellXfs>
  <cellStyles count="2">
    <cellStyle name="Millares [0]" xfId="1" builtinId="6"/>
    <cellStyle name="Normal" xfId="0" builtinId="0"/>
  </cellStyles>
  <dxfs count="159">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103150</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87275</xdr:rowOff>
    </xdr:to>
    <xdr:pic>
      <xdr:nvPicPr>
        <xdr:cNvPr id="3" name="Imagen 2">
          <a:extLst>
            <a:ext uri="{FF2B5EF4-FFF2-40B4-BE49-F238E27FC236}">
              <a16:creationId xmlns:a16="http://schemas.microsoft.com/office/drawing/2014/main" id="{5F414A80-CA71-41E2-A151-1DC30B2394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903E7C49-892D-42E1-B280-2C565CD237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4E7D6BA6-AAA1-4B54-9EB4-58940A6C16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20de%20Riesgos%20de%20Resti&#243;n%202022%20IIT-%20Evaluaci&#243;n%20a%20la%20Gest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20de%20Riesgos%20de%20Gesti&#243;n%202022%20IIT%20Control%20Interno%20Discipli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Datos"/>
      <sheetName val="Instructivo"/>
    </sheetNames>
    <sheetDataSet>
      <sheetData sheetId="0"/>
      <sheetData sheetId="1">
        <row r="4">
          <cell r="J4" t="str">
            <v>MUY BAJA - LEVE</v>
          </cell>
          <cell r="K4" t="str">
            <v>BAJO</v>
          </cell>
          <cell r="O4" t="str">
            <v>Afectación Menor a 700 SMLMV</v>
          </cell>
          <cell r="P4" t="str">
            <v>Leve</v>
          </cell>
        </row>
        <row r="5">
          <cell r="J5" t="str">
            <v>MUY BAJA - MENOR</v>
          </cell>
          <cell r="K5" t="str">
            <v>BAJO</v>
          </cell>
          <cell r="O5" t="str">
            <v>Afectación Entre 700 y 1500 SMLMV</v>
          </cell>
          <cell r="P5" t="str">
            <v>Menor</v>
          </cell>
        </row>
        <row r="6">
          <cell r="J6" t="str">
            <v>MUY BAJA - MODERADO</v>
          </cell>
          <cell r="K6" t="str">
            <v>MODERADO</v>
          </cell>
          <cell r="O6" t="str">
            <v>Afectación Entre 1500 y 2300 SMLMV</v>
          </cell>
          <cell r="P6" t="str">
            <v>Moderado</v>
          </cell>
        </row>
        <row r="7">
          <cell r="J7" t="str">
            <v>MUY BAJA - MAYOR</v>
          </cell>
          <cell r="K7" t="str">
            <v>ALTO</v>
          </cell>
          <cell r="O7" t="str">
            <v>Afectación Entre 2300 y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 1"/>
      <sheetName val="Datos"/>
      <sheetName val="Instructivo"/>
    </sheetNames>
    <sheetDataSet>
      <sheetData sheetId="0"/>
      <sheetData sheetId="1">
        <row r="4">
          <cell r="J4" t="str">
            <v>MUY BAJA - LEVE</v>
          </cell>
          <cell r="K4" t="str">
            <v>BAJO</v>
          </cell>
          <cell r="O4" t="str">
            <v>Afectación Menor a 700 SMLMV</v>
          </cell>
          <cell r="P4" t="str">
            <v>Leve</v>
          </cell>
        </row>
        <row r="5">
          <cell r="J5" t="str">
            <v>MUY BAJA - MENOR</v>
          </cell>
          <cell r="K5" t="str">
            <v>BAJO</v>
          </cell>
          <cell r="O5" t="str">
            <v>Afectación Entre 700 y 1500 SMLMV</v>
          </cell>
          <cell r="P5" t="str">
            <v>Menor</v>
          </cell>
        </row>
        <row r="6">
          <cell r="J6" t="str">
            <v>MUY BAJA - MODERADO</v>
          </cell>
          <cell r="K6" t="str">
            <v>MODERADO</v>
          </cell>
          <cell r="O6" t="str">
            <v>Afectación Entre 1500 y 2300 SMLMV</v>
          </cell>
          <cell r="P6" t="str">
            <v>Moderado</v>
          </cell>
        </row>
        <row r="7">
          <cell r="J7" t="str">
            <v>MUY BAJA - MAYOR</v>
          </cell>
          <cell r="K7" t="str">
            <v>ALTO</v>
          </cell>
          <cell r="O7" t="str">
            <v>Afectación Entre 2300 y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Willington Granados Herrera" id="{39151E36-DD0E-41E7-87A1-8ABBD55C02CA}" userId="S::willington.granados@idipron.gov.co::31b240b4-d49a-4bf7-b038-72480c7a6c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7" dT="2022-04-29T16:39:06.54" personId="{39151E36-DD0E-41E7-87A1-8ABBD55C02CA}" id="{004E5629-BD0E-4948-BE86-4CB5417FF6E9}">
    <text>SE TOMA COMO BASE EL NUMERO DE SEGUIMIENTOS QUE SE REALIZAN EN EL AÑO POR HERRAMIENTAS Riesgos: 3 , PAAC: 3, Plan de Acción: 4, Plan de Mejoramiento: 4, Indicadores: 4</text>
  </threadedComment>
  <threadedComment ref="G19" dT="2022-05-11T12:23:34.03" personId="{39151E36-DD0E-41E7-87A1-8ABBD55C02CA}" id="{24252281-829E-4763-8266-1F662A2789D5}">
    <text>Se toma como base el numero de actividades que conforman el plan de adecuación 2022</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T33"/>
  <sheetViews>
    <sheetView showGridLines="0" zoomScale="60" zoomScaleNormal="60" zoomScaleSheetLayoutView="90" workbookViewId="0">
      <selection activeCell="J17" sqref="J17:J18"/>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customWidth="1"/>
    <col min="20" max="22" width="5.140625" style="1" customWidth="1"/>
    <col min="23" max="24" width="11.42578125" style="1" customWidth="1"/>
    <col min="25" max="28" width="7.2851562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6" width="45" customWidth="1"/>
  </cols>
  <sheetData>
    <row r="1" spans="1:46" ht="15.75" customHeight="1" x14ac:dyDescent="0.25">
      <c r="A1" s="124"/>
      <c r="B1" s="125"/>
      <c r="C1" s="130" t="s">
        <v>0</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2"/>
      <c r="AQ1" s="124" t="s">
        <v>1</v>
      </c>
      <c r="AR1" s="125"/>
      <c r="AS1" s="196" t="s">
        <v>2</v>
      </c>
      <c r="AT1" s="192"/>
    </row>
    <row r="2" spans="1:46" ht="15.75" customHeight="1" thickBot="1" x14ac:dyDescent="0.3">
      <c r="A2" s="126"/>
      <c r="B2" s="127"/>
      <c r="C2" s="133"/>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5"/>
      <c r="AQ2" s="128"/>
      <c r="AR2" s="129"/>
      <c r="AS2" s="193"/>
      <c r="AT2" s="194"/>
    </row>
    <row r="3" spans="1:46" ht="15.75" customHeight="1" x14ac:dyDescent="0.25">
      <c r="A3" s="126"/>
      <c r="B3" s="127"/>
      <c r="C3" s="133"/>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5"/>
      <c r="AQ3" s="124" t="s">
        <v>3</v>
      </c>
      <c r="AR3" s="125"/>
      <c r="AS3" s="197" t="s">
        <v>4</v>
      </c>
      <c r="AT3" s="198"/>
    </row>
    <row r="4" spans="1:46" ht="16.5" customHeight="1" thickBot="1" x14ac:dyDescent="0.3">
      <c r="A4" s="126"/>
      <c r="B4" s="127"/>
      <c r="C4" s="136"/>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8"/>
      <c r="AQ4" s="128"/>
      <c r="AR4" s="129"/>
      <c r="AS4" s="199"/>
      <c r="AT4" s="200"/>
    </row>
    <row r="5" spans="1:46" ht="20.45" customHeight="1" x14ac:dyDescent="0.25">
      <c r="A5" s="126"/>
      <c r="B5" s="127"/>
      <c r="C5" s="133" t="s">
        <v>5</v>
      </c>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5"/>
      <c r="AQ5" s="124" t="s">
        <v>6</v>
      </c>
      <c r="AR5" s="125"/>
      <c r="AS5" s="124" t="s">
        <v>7</v>
      </c>
      <c r="AT5" s="125"/>
    </row>
    <row r="6" spans="1:46" ht="15" customHeight="1" thickBot="1" x14ac:dyDescent="0.3">
      <c r="A6" s="126"/>
      <c r="B6" s="127"/>
      <c r="C6" s="133"/>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5"/>
      <c r="AQ6" s="128"/>
      <c r="AR6" s="129"/>
      <c r="AS6" s="128"/>
      <c r="AT6" s="129"/>
    </row>
    <row r="7" spans="1:46" ht="15.75" customHeight="1" x14ac:dyDescent="0.25">
      <c r="A7" s="126"/>
      <c r="B7" s="127"/>
      <c r="C7" s="133"/>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24" t="s">
        <v>8</v>
      </c>
      <c r="AR7" s="125"/>
      <c r="AS7" s="191">
        <v>44651</v>
      </c>
      <c r="AT7" s="192"/>
    </row>
    <row r="8" spans="1:46" ht="16.5" customHeight="1" thickBot="1" x14ac:dyDescent="0.3">
      <c r="A8" s="128"/>
      <c r="B8" s="129"/>
      <c r="C8" s="136"/>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8"/>
      <c r="AQ8" s="128"/>
      <c r="AR8" s="129"/>
      <c r="AS8" s="193"/>
      <c r="AT8" s="194"/>
    </row>
    <row r="10" spans="1:46" ht="54" customHeight="1" x14ac:dyDescent="0.25">
      <c r="A10" s="157" t="s">
        <v>9</v>
      </c>
      <c r="B10" s="157"/>
      <c r="C10" s="157"/>
      <c r="D10" s="158" t="s">
        <v>10</v>
      </c>
      <c r="E10" s="159"/>
      <c r="F10" s="159"/>
      <c r="G10" s="159"/>
      <c r="H10" s="159"/>
      <c r="I10" s="159"/>
      <c r="J10" s="159"/>
      <c r="K10" s="159"/>
      <c r="L10" s="159"/>
      <c r="M10" s="160"/>
      <c r="N10" s="29"/>
      <c r="AG10" s="1"/>
      <c r="AH10" s="1"/>
      <c r="AI10" s="1"/>
    </row>
    <row r="11" spans="1:46" s="3" customFormat="1" ht="75" customHeight="1" x14ac:dyDescent="0.25">
      <c r="A11" s="157" t="s">
        <v>11</v>
      </c>
      <c r="B11" s="157"/>
      <c r="C11" s="157"/>
      <c r="D11" s="161" t="s">
        <v>12</v>
      </c>
      <c r="E11" s="162"/>
      <c r="F11" s="162"/>
      <c r="G11" s="162"/>
      <c r="H11" s="162"/>
      <c r="I11" s="162"/>
      <c r="J11" s="162"/>
      <c r="K11" s="162"/>
      <c r="L11" s="162"/>
      <c r="M11" s="163"/>
      <c r="N11" s="30"/>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75" customHeight="1" x14ac:dyDescent="0.25">
      <c r="A12" s="157" t="s">
        <v>13</v>
      </c>
      <c r="B12" s="157"/>
      <c r="C12" s="157"/>
      <c r="D12" s="161" t="s">
        <v>14</v>
      </c>
      <c r="E12" s="162"/>
      <c r="F12" s="162"/>
      <c r="G12" s="162"/>
      <c r="H12" s="162"/>
      <c r="I12" s="162"/>
      <c r="J12" s="162"/>
      <c r="K12" s="162"/>
      <c r="L12" s="162"/>
      <c r="M12" s="163"/>
      <c r="N12" s="30"/>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x14ac:dyDescent="0.25">
      <c r="A14" s="93" t="s">
        <v>15</v>
      </c>
      <c r="B14" s="94"/>
      <c r="C14" s="94"/>
      <c r="D14" s="94"/>
      <c r="E14" s="94"/>
      <c r="F14" s="94"/>
      <c r="G14" s="94"/>
      <c r="H14" s="94"/>
      <c r="I14" s="94"/>
      <c r="J14" s="94"/>
      <c r="K14" s="94"/>
      <c r="L14" s="94"/>
      <c r="M14" s="94"/>
      <c r="N14" s="95"/>
      <c r="O14" s="96"/>
      <c r="P14" s="2"/>
      <c r="Q14" s="101" t="s">
        <v>16</v>
      </c>
      <c r="R14" s="102"/>
      <c r="S14" s="102"/>
      <c r="T14" s="103"/>
      <c r="U14" s="103"/>
      <c r="V14" s="103"/>
      <c r="W14" s="103"/>
      <c r="X14" s="103"/>
      <c r="Y14" s="103"/>
      <c r="Z14" s="102"/>
      <c r="AA14" s="102"/>
      <c r="AB14" s="102"/>
      <c r="AC14" s="102"/>
      <c r="AD14" s="102"/>
      <c r="AE14" s="102"/>
      <c r="AF14" s="102"/>
      <c r="AG14" s="104"/>
      <c r="AH14" s="2"/>
      <c r="AI14" s="139" t="s">
        <v>17</v>
      </c>
      <c r="AJ14" s="140"/>
      <c r="AK14" s="141"/>
      <c r="AM14" s="139" t="s">
        <v>18</v>
      </c>
      <c r="AN14" s="140"/>
      <c r="AO14" s="140"/>
      <c r="AP14" s="140"/>
      <c r="AQ14" s="140"/>
      <c r="AR14" s="44"/>
      <c r="AS14" s="139" t="s">
        <v>19</v>
      </c>
      <c r="AT14" s="141"/>
    </row>
    <row r="15" spans="1:46" x14ac:dyDescent="0.25">
      <c r="A15" s="97"/>
      <c r="B15" s="98"/>
      <c r="C15" s="98"/>
      <c r="D15" s="98"/>
      <c r="E15" s="98"/>
      <c r="F15" s="98"/>
      <c r="G15" s="98"/>
      <c r="H15" s="98"/>
      <c r="I15" s="98"/>
      <c r="J15" s="98"/>
      <c r="K15" s="98"/>
      <c r="L15" s="98"/>
      <c r="M15" s="98"/>
      <c r="N15" s="99"/>
      <c r="O15" s="100"/>
      <c r="P15" s="2"/>
      <c r="Q15" s="31"/>
      <c r="R15" s="32"/>
      <c r="S15" s="32"/>
      <c r="T15" s="107" t="s">
        <v>20</v>
      </c>
      <c r="U15" s="107"/>
      <c r="V15" s="107"/>
      <c r="W15" s="107"/>
      <c r="X15" s="107"/>
      <c r="Y15" s="107"/>
      <c r="Z15" s="105"/>
      <c r="AA15" s="105"/>
      <c r="AB15" s="105"/>
      <c r="AC15" s="105"/>
      <c r="AD15" s="105"/>
      <c r="AE15" s="105"/>
      <c r="AF15" s="105"/>
      <c r="AG15" s="106"/>
      <c r="AH15" s="2"/>
      <c r="AI15" s="142"/>
      <c r="AJ15" s="143"/>
      <c r="AK15" s="144"/>
      <c r="AM15" s="142"/>
      <c r="AN15" s="143"/>
      <c r="AO15" s="143"/>
      <c r="AP15" s="143"/>
      <c r="AQ15" s="143"/>
      <c r="AR15" s="44"/>
      <c r="AS15" s="142"/>
      <c r="AT15" s="144"/>
    </row>
    <row r="16" spans="1:46" s="5" customFormat="1" ht="106.5" customHeight="1" x14ac:dyDescent="0.25">
      <c r="A16" s="11" t="s">
        <v>21</v>
      </c>
      <c r="B16" s="12" t="s">
        <v>22</v>
      </c>
      <c r="C16" s="13" t="s">
        <v>23</v>
      </c>
      <c r="D16" s="13" t="s">
        <v>24</v>
      </c>
      <c r="E16" s="14" t="s">
        <v>25</v>
      </c>
      <c r="F16" s="24" t="s">
        <v>26</v>
      </c>
      <c r="G16" s="48" t="s">
        <v>27</v>
      </c>
      <c r="H16" s="14" t="s">
        <v>28</v>
      </c>
      <c r="I16" s="13" t="s">
        <v>29</v>
      </c>
      <c r="J16" s="13" t="s">
        <v>30</v>
      </c>
      <c r="K16" s="14" t="s">
        <v>31</v>
      </c>
      <c r="L16" s="14" t="s">
        <v>32</v>
      </c>
      <c r="M16" s="13" t="s">
        <v>29</v>
      </c>
      <c r="N16" s="13" t="s">
        <v>33</v>
      </c>
      <c r="O16" s="15" t="s">
        <v>34</v>
      </c>
      <c r="P16" s="2"/>
      <c r="Q16" s="16" t="s">
        <v>35</v>
      </c>
      <c r="R16" s="17" t="s">
        <v>36</v>
      </c>
      <c r="S16" s="35" t="s">
        <v>37</v>
      </c>
      <c r="T16" s="18" t="s">
        <v>38</v>
      </c>
      <c r="U16" s="18" t="s">
        <v>39</v>
      </c>
      <c r="V16" s="18" t="s">
        <v>40</v>
      </c>
      <c r="W16" s="18" t="s">
        <v>41</v>
      </c>
      <c r="X16" s="18" t="s">
        <v>42</v>
      </c>
      <c r="Y16" s="18" t="s">
        <v>43</v>
      </c>
      <c r="Z16" s="19" t="s">
        <v>44</v>
      </c>
      <c r="AA16" s="19" t="s">
        <v>45</v>
      </c>
      <c r="AB16" s="19" t="s">
        <v>29</v>
      </c>
      <c r="AC16" s="19" t="s">
        <v>46</v>
      </c>
      <c r="AD16" s="19" t="s">
        <v>29</v>
      </c>
      <c r="AE16" s="19" t="s">
        <v>33</v>
      </c>
      <c r="AF16" s="19" t="s">
        <v>47</v>
      </c>
      <c r="AG16" s="15" t="s">
        <v>48</v>
      </c>
      <c r="AH16" s="2"/>
      <c r="AI16" s="20" t="s">
        <v>49</v>
      </c>
      <c r="AJ16" s="17" t="s">
        <v>50</v>
      </c>
      <c r="AK16" s="43" t="s">
        <v>51</v>
      </c>
      <c r="AM16" s="46" t="s">
        <v>52</v>
      </c>
      <c r="AN16" s="46" t="s">
        <v>53</v>
      </c>
      <c r="AO16" s="46" t="s">
        <v>54</v>
      </c>
      <c r="AP16" s="46" t="s">
        <v>55</v>
      </c>
      <c r="AQ16" s="46" t="s">
        <v>56</v>
      </c>
      <c r="AR16" s="45"/>
      <c r="AS16" s="46" t="s">
        <v>57</v>
      </c>
      <c r="AT16" s="47" t="s">
        <v>58</v>
      </c>
    </row>
    <row r="17" spans="1:46" ht="242.25" customHeight="1" x14ac:dyDescent="0.25">
      <c r="A17" s="122">
        <v>0</v>
      </c>
      <c r="B17" s="114" t="s">
        <v>59</v>
      </c>
      <c r="C17" s="112" t="s">
        <v>60</v>
      </c>
      <c r="D17" s="112" t="s">
        <v>61</v>
      </c>
      <c r="E17" s="112" t="s">
        <v>62</v>
      </c>
      <c r="F17" s="110"/>
      <c r="G17" s="114">
        <v>18</v>
      </c>
      <c r="H17" s="116" t="str">
        <f>IF(G17&lt;=0,"",IF(G17&lt;=2,"Muy Baja",IF(G17&lt;=24,"Baja",IF(G17&lt;=500,"Media",IF(G17&lt;=5000,"Alta","Muy Alta")))))</f>
        <v>Baja</v>
      </c>
      <c r="I17" s="108">
        <f>IF(H17="","",IF(H17="Muy Baja",0.2,IF(H17="Baja",0.4,IF(H17="Media",0.6,IF(H17="Alta",0.8,IF(H17="Muy Alta",1,))))))</f>
        <v>0.4</v>
      </c>
      <c r="J17" s="120" t="s">
        <v>63</v>
      </c>
      <c r="K17" s="151" t="str">
        <f>+J17</f>
        <v>El riesgo afecta la imagen de la entidad internamente, de conocimiento general nivel interno, de junta directiva y/o de proveedores</v>
      </c>
      <c r="L17" s="116" t="str">
        <f>+VLOOKUP(K17,Datos!$O$4:$P$15,2,FALSE)</f>
        <v>Menor</v>
      </c>
      <c r="M17" s="108">
        <f>IF(L17="","",IF(L17="Leve",0.2,IF(L17="Menor",0.4,IF(L17="Moderado",0.6,IF(L17="Mayor",0.8,IF(L17="Catastrófico",1,))))))</f>
        <v>0.4</v>
      </c>
      <c r="N17" s="153" t="str">
        <f>+CONCATENATE(H17, " - ", L17)</f>
        <v>Baja - Menor</v>
      </c>
      <c r="O17" s="118" t="str">
        <f>+VLOOKUP(N17,Datos!J4:K28,2,)</f>
        <v>MODERADO</v>
      </c>
      <c r="P17" s="40"/>
      <c r="Q17" s="21">
        <v>1</v>
      </c>
      <c r="R17" s="34" t="s">
        <v>64</v>
      </c>
      <c r="S17" s="53" t="str">
        <f t="shared" ref="S17:S23" si="0">IF(OR(T17="Preventivo",T17="Detectivo"),"Probabilidad",IF(T17="Correctivo","Impacto",""))</f>
        <v>Probabilidad</v>
      </c>
      <c r="T17" s="41" t="s">
        <v>65</v>
      </c>
      <c r="U17" s="41" t="s">
        <v>66</v>
      </c>
      <c r="V17" s="57" t="str">
        <f t="shared" ref="V17:V18" si="1">IF(AND(T17="Preventivo",U17="Automático"),"50%",IF(AND(T17="Preventivo",U17="Manual"),"40%",IF(AND(T17="Detectivo",U17="Automático"),"40%",IF(AND(T17="Detectivo",U17="Manual"),"30%",IF(AND(T17="Correctivo",U17="Automático"),"35%",IF(AND(T17="Correctivo",U17="Manual"),"25%",""))))))</f>
        <v>30%</v>
      </c>
      <c r="W17" s="42" t="s">
        <v>67</v>
      </c>
      <c r="X17" s="42" t="s">
        <v>68</v>
      </c>
      <c r="Y17" s="42" t="s">
        <v>69</v>
      </c>
      <c r="Z17" s="61">
        <f>IFERROR(IF(S17="Probabilidad",(I17-(+I17*V17)),IF(S17="Impacto",I17,"")),"")</f>
        <v>0.28000000000000003</v>
      </c>
      <c r="AA17" s="62" t="str">
        <f t="shared" ref="AA17:AA21" si="2">IFERROR(IF(Z17="","",IF(Z17&lt;=0.2,"Muy Baja",IF(Z17&lt;=0.4,"Baja",IF(Z17&lt;=0.6,"Media",IF(Z17&lt;=0.8,"Alta","Muy Alta"))))),"")</f>
        <v>Baja</v>
      </c>
      <c r="AB17" s="61">
        <f t="shared" ref="AB17:AB21" si="3">+Z17</f>
        <v>0.28000000000000003</v>
      </c>
      <c r="AC17" s="63" t="str">
        <f t="shared" ref="AC17:AC21" si="4">IFERROR(IF(AD17="","",IF(AD17&lt;=0.2,"Leve",IF(AD17&lt;=0.4,"Menor",IF(AD17&lt;=0.6,"Moderado",IF(AD17&lt;=0.8,"Mayor","Catastrófico"))))),"")</f>
        <v>Menor</v>
      </c>
      <c r="AD17" s="61">
        <f>IFERROR(IF(S17="Impacto",(M17-(+M17*V17)),IF(S17="Probabilidad",M17,"")),"")</f>
        <v>0.4</v>
      </c>
      <c r="AE17" s="64" t="str">
        <f>+CONCATENATE(AA17, " - ", AC17)</f>
        <v>Baja - Menor</v>
      </c>
      <c r="AF17" s="77" t="str">
        <f>+VLOOKUP(AE17,Datos!$J$4:$K$28,2,)</f>
        <v>MODERADO</v>
      </c>
      <c r="AG17" s="155" t="s">
        <v>70</v>
      </c>
      <c r="AH17" s="40"/>
      <c r="AI17" s="145" t="s">
        <v>71</v>
      </c>
      <c r="AJ17" s="147" t="s">
        <v>72</v>
      </c>
      <c r="AK17" s="149" t="s">
        <v>73</v>
      </c>
      <c r="AM17" s="85">
        <v>44571</v>
      </c>
      <c r="AN17" s="92" t="s">
        <v>74</v>
      </c>
      <c r="AO17" s="88" t="s">
        <v>75</v>
      </c>
      <c r="AP17" s="91" t="s">
        <v>76</v>
      </c>
      <c r="AQ17" s="91"/>
      <c r="AR17" s="82"/>
      <c r="AS17" s="88" t="s">
        <v>77</v>
      </c>
      <c r="AT17" s="205" t="s">
        <v>78</v>
      </c>
    </row>
    <row r="18" spans="1:46" ht="198.75" customHeight="1" x14ac:dyDescent="0.25">
      <c r="A18" s="123"/>
      <c r="B18" s="115"/>
      <c r="C18" s="113"/>
      <c r="D18" s="113"/>
      <c r="E18" s="113"/>
      <c r="F18" s="111"/>
      <c r="G18" s="115"/>
      <c r="H18" s="117"/>
      <c r="I18" s="109"/>
      <c r="J18" s="121"/>
      <c r="K18" s="152"/>
      <c r="L18" s="117"/>
      <c r="M18" s="109"/>
      <c r="N18" s="154"/>
      <c r="O18" s="119"/>
      <c r="P18" s="2"/>
      <c r="Q18" s="8">
        <v>2</v>
      </c>
      <c r="R18" s="33" t="s">
        <v>79</v>
      </c>
      <c r="S18" s="54" t="str">
        <f t="shared" si="0"/>
        <v>Impacto</v>
      </c>
      <c r="T18" s="6" t="s">
        <v>80</v>
      </c>
      <c r="U18" s="6" t="s">
        <v>66</v>
      </c>
      <c r="V18" s="58" t="str">
        <f t="shared" si="1"/>
        <v>25%</v>
      </c>
      <c r="W18" s="42" t="s">
        <v>67</v>
      </c>
      <c r="X18" s="10" t="s">
        <v>81</v>
      </c>
      <c r="Y18" s="10" t="s">
        <v>82</v>
      </c>
      <c r="Z18" s="65">
        <f>IFERROR(IF(AND(S17="Probabilidad",S18="Probabilidad"),(AB17-(+AB17*V18)),IF(S18="Probabilidad",(I17-(+I17*V18)),IF(S18="Impacto",AB17,""))),"")</f>
        <v>0.28000000000000003</v>
      </c>
      <c r="AA18" s="66" t="str">
        <f t="shared" si="2"/>
        <v>Baja</v>
      </c>
      <c r="AB18" s="65">
        <f t="shared" si="3"/>
        <v>0.28000000000000003</v>
      </c>
      <c r="AC18" s="67" t="str">
        <f t="shared" si="4"/>
        <v>Menor</v>
      </c>
      <c r="AD18" s="65">
        <f>IFERROR(IF(AND(S17="Impacto",S17="Impacto"),(AD17-(+AD17*V18)),IF(S18="Impacto",(M17-(+M17*V18)),IF(S18="Probabilidad",AD17,""))),"")</f>
        <v>0.30000000000000004</v>
      </c>
      <c r="AE18" s="68" t="str">
        <f t="shared" ref="AE18" si="5">+CONCATENATE(AA18, " - ", AC18)</f>
        <v>Baja - Menor</v>
      </c>
      <c r="AF18" s="78" t="str">
        <f>+VLOOKUP(AE18,Datos!$J$4:$K$28,2,)</f>
        <v>MODERADO</v>
      </c>
      <c r="AG18" s="156"/>
      <c r="AH18" s="2"/>
      <c r="AI18" s="146"/>
      <c r="AJ18" s="148"/>
      <c r="AK18" s="150"/>
      <c r="AM18" s="86"/>
      <c r="AN18" s="86"/>
      <c r="AO18" s="89"/>
      <c r="AP18" s="86"/>
      <c r="AQ18" s="86"/>
      <c r="AR18" s="83"/>
      <c r="AS18" s="204"/>
      <c r="AT18" s="195"/>
    </row>
    <row r="19" spans="1:46" ht="186.75" customHeight="1" x14ac:dyDescent="0.25">
      <c r="A19" s="164">
        <v>2</v>
      </c>
      <c r="B19" s="165" t="s">
        <v>59</v>
      </c>
      <c r="C19" s="166" t="s">
        <v>83</v>
      </c>
      <c r="D19" s="166" t="s">
        <v>84</v>
      </c>
      <c r="E19" s="166" t="s">
        <v>85</v>
      </c>
      <c r="F19" s="167"/>
      <c r="G19" s="165">
        <v>122</v>
      </c>
      <c r="H19" s="168" t="str">
        <f>IF(G19&lt;=0,"",IF(G19&lt;=2,"Muy Baja",IF(G19&lt;=24,"Baja",IF(G19&lt;=500,"Media",IF(G19&lt;=5000,"Alta","Muy Alta")))))</f>
        <v>Media</v>
      </c>
      <c r="I19" s="169">
        <f>IF(H19="","",IF(H19="Muy Baja",0.2,IF(H19="Baja",0.4,IF(H19="Media",0.6,IF(H19="Alta",0.8,IF(H19="Muy Alta",1,))))))</f>
        <v>0.6</v>
      </c>
      <c r="J19" s="176" t="s">
        <v>86</v>
      </c>
      <c r="K19" s="182" t="str">
        <f>+J19</f>
        <v>El riesgo afecta la imagen de la entidad con algunos usuarios de relevancia frente al logro de los objetivos.</v>
      </c>
      <c r="L19" s="168" t="str">
        <f>+VLOOKUP(K19,Datos!$O$4:$P$15,2,FALSE)</f>
        <v>Moderado</v>
      </c>
      <c r="M19" s="184">
        <f>IF(L19="","",IF(L19="Leve",0.2,IF(L19="Menor",0.4,IF(L19="Moderado",0.6,IF(L19="Mayor",0.8,IF(L19="Catastrófico",1,))))))</f>
        <v>0.6</v>
      </c>
      <c r="N19" s="185" t="str">
        <f>+CONCATENATE(H19, " - ", L19)</f>
        <v>Media - Moderado</v>
      </c>
      <c r="O19" s="188" t="str">
        <f>+VLOOKUP(N19,Datos!J10:K34,2,)</f>
        <v>MODERADO</v>
      </c>
      <c r="P19" s="2"/>
      <c r="Q19" s="36">
        <v>1</v>
      </c>
      <c r="R19" s="37" t="s">
        <v>87</v>
      </c>
      <c r="S19" s="56" t="str">
        <f t="shared" si="0"/>
        <v>Probabilidad</v>
      </c>
      <c r="T19" s="38" t="s">
        <v>88</v>
      </c>
      <c r="U19" s="38" t="s">
        <v>66</v>
      </c>
      <c r="V19" s="60" t="str">
        <f t="shared" ref="V19:V23" si="6">IF(AND(T19="Preventivo",U19="Automático"),"50%",IF(AND(T19="Preventivo",U19="Manual"),"40%",IF(AND(T19="Detectivo",U19="Automático"),"40%",IF(AND(T19="Detectivo",U19="Manual"),"30%",IF(AND(T19="Correctivo",U19="Automático"),"35%",IF(AND(T19="Correctivo",U19="Manual"),"25%",""))))))</f>
        <v>40%</v>
      </c>
      <c r="W19" s="39" t="s">
        <v>67</v>
      </c>
      <c r="X19" s="39" t="s">
        <v>89</v>
      </c>
      <c r="Y19" s="39"/>
      <c r="Z19" s="73">
        <f>IFERROR(IF(S19="Probabilidad",(I19-(+I19*V19)),IF(S19="Impacto",I19,"")),"")</f>
        <v>0.36</v>
      </c>
      <c r="AA19" s="74" t="str">
        <f t="shared" si="2"/>
        <v>Baja</v>
      </c>
      <c r="AB19" s="73">
        <f t="shared" si="3"/>
        <v>0.36</v>
      </c>
      <c r="AC19" s="75" t="str">
        <f t="shared" si="4"/>
        <v>Moderado</v>
      </c>
      <c r="AD19" s="73">
        <f>IFERROR(IF(S19="Impacto",(M19-(+M19*V19)),IF(S19="Probabilidad",M19,"")),"")</f>
        <v>0.6</v>
      </c>
      <c r="AE19" s="76" t="str">
        <f>+CONCATENATE(AA19, " - ", AC19)</f>
        <v>Baja - Moderado</v>
      </c>
      <c r="AF19" s="80" t="str">
        <f>+VLOOKUP(AE19,Datos!$J$4:$K$28,2,)</f>
        <v>MODERADO</v>
      </c>
      <c r="AG19" s="178" t="s">
        <v>90</v>
      </c>
      <c r="AH19" s="2"/>
      <c r="AI19" s="170" t="s">
        <v>91</v>
      </c>
      <c r="AJ19" s="172"/>
      <c r="AK19" s="174"/>
      <c r="AM19" s="85">
        <v>44571</v>
      </c>
      <c r="AN19" s="88" t="s">
        <v>92</v>
      </c>
      <c r="AO19" s="88" t="s">
        <v>93</v>
      </c>
      <c r="AP19" s="88" t="s">
        <v>76</v>
      </c>
      <c r="AQ19" s="91"/>
      <c r="AR19" s="83"/>
      <c r="AS19" s="201" t="s">
        <v>94</v>
      </c>
      <c r="AT19" s="195" t="s">
        <v>95</v>
      </c>
    </row>
    <row r="20" spans="1:46" ht="209.25" customHeight="1" x14ac:dyDescent="0.25">
      <c r="A20" s="164"/>
      <c r="B20" s="165"/>
      <c r="C20" s="166"/>
      <c r="D20" s="166"/>
      <c r="E20" s="166"/>
      <c r="F20" s="167"/>
      <c r="G20" s="165"/>
      <c r="H20" s="168"/>
      <c r="I20" s="169"/>
      <c r="J20" s="121"/>
      <c r="K20" s="152"/>
      <c r="L20" s="168"/>
      <c r="M20" s="184"/>
      <c r="N20" s="186"/>
      <c r="O20" s="189"/>
      <c r="P20" s="2"/>
      <c r="Q20" s="8">
        <v>2</v>
      </c>
      <c r="R20" s="33" t="s">
        <v>96</v>
      </c>
      <c r="S20" s="54" t="str">
        <f t="shared" si="0"/>
        <v>Probabilidad</v>
      </c>
      <c r="T20" s="6" t="s">
        <v>88</v>
      </c>
      <c r="U20" s="6" t="s">
        <v>66</v>
      </c>
      <c r="V20" s="58" t="str">
        <f t="shared" si="6"/>
        <v>40%</v>
      </c>
      <c r="W20" s="10" t="s">
        <v>67</v>
      </c>
      <c r="X20" s="10" t="s">
        <v>97</v>
      </c>
      <c r="Y20" s="10" t="s">
        <v>98</v>
      </c>
      <c r="Z20" s="65">
        <f>IFERROR(IF(AND(S19="Probabilidad",S20="Probabilidad"),(AB19-(+AB19*V20)),IF(S20="Probabilidad",(I19-(+I19*V20)),IF(S20="Impacto",AB19,""))),"")</f>
        <v>0.216</v>
      </c>
      <c r="AA20" s="66" t="str">
        <f t="shared" si="2"/>
        <v>Baja</v>
      </c>
      <c r="AB20" s="65">
        <f t="shared" si="3"/>
        <v>0.216</v>
      </c>
      <c r="AC20" s="67" t="str">
        <f t="shared" si="4"/>
        <v>Moderado</v>
      </c>
      <c r="AD20" s="65">
        <f>IFERROR(IF(AND(S19="Impacto",S19="Impacto"),(AD19-(+AD19*V20)),IF(S20="Impacto",(M19-(+M19*V20)),IF(S20="Probabilidad",AD19,""))),"")</f>
        <v>0.6</v>
      </c>
      <c r="AE20" s="68" t="str">
        <f t="shared" ref="AE20:AE21" si="7">+CONCATENATE(AA20, " - ", AC20)</f>
        <v>Baja - Moderado</v>
      </c>
      <c r="AF20" s="78" t="str">
        <f>+VLOOKUP(AE20,Datos!$J$4:$K$28,2,)</f>
        <v>MODERADO</v>
      </c>
      <c r="AG20" s="179"/>
      <c r="AH20" s="2"/>
      <c r="AI20" s="170"/>
      <c r="AJ20" s="172"/>
      <c r="AK20" s="174"/>
      <c r="AM20" s="86"/>
      <c r="AN20" s="89"/>
      <c r="AO20" s="89"/>
      <c r="AP20" s="86"/>
      <c r="AQ20" s="86"/>
      <c r="AR20" s="83"/>
      <c r="AS20" s="202"/>
      <c r="AT20" s="195"/>
    </row>
    <row r="21" spans="1:46" ht="215.25" customHeight="1" x14ac:dyDescent="0.25">
      <c r="A21" s="164"/>
      <c r="B21" s="165"/>
      <c r="C21" s="166"/>
      <c r="D21" s="166"/>
      <c r="E21" s="166"/>
      <c r="F21" s="167"/>
      <c r="G21" s="165"/>
      <c r="H21" s="168"/>
      <c r="I21" s="169"/>
      <c r="J21" s="121"/>
      <c r="K21" s="152"/>
      <c r="L21" s="168"/>
      <c r="M21" s="184"/>
      <c r="N21" s="186"/>
      <c r="O21" s="189"/>
      <c r="P21" s="2"/>
      <c r="Q21" s="8">
        <v>3</v>
      </c>
      <c r="R21" s="50" t="s">
        <v>99</v>
      </c>
      <c r="S21" s="54" t="str">
        <f t="shared" ref="S21:S22" si="8">IF(OR(T21="Preventivo",T21="Detectivo"),"Probabilidad",IF(T21="Correctivo","Impacto",""))</f>
        <v>Probabilidad</v>
      </c>
      <c r="T21" s="51" t="s">
        <v>88</v>
      </c>
      <c r="U21" s="51" t="s">
        <v>66</v>
      </c>
      <c r="V21" s="58" t="str">
        <f t="shared" ref="V21:V22" si="9">IF(AND(T21="Preventivo",U21="Automático"),"50%",IF(AND(T21="Preventivo",U21="Manual"),"40%",IF(AND(T21="Detectivo",U21="Automático"),"40%",IF(AND(T21="Detectivo",U21="Manual"),"30%",IF(AND(T21="Correctivo",U21="Automático"),"35%",IF(AND(T21="Correctivo",U21="Manual"),"25%",""))))))</f>
        <v>40%</v>
      </c>
      <c r="W21" s="52" t="s">
        <v>67</v>
      </c>
      <c r="X21" s="52" t="s">
        <v>100</v>
      </c>
      <c r="Y21" s="52" t="s">
        <v>101</v>
      </c>
      <c r="Z21" s="65">
        <f>IFERROR(IF(AND(S20="Probabilidad",S21="Probabilidad"),(AB20-(+AB20*V21)),IF(S21="Probabilidad",(I19-(+I19*V21)),IF(S21="Impacto",AB20,""))),"")</f>
        <v>0.12959999999999999</v>
      </c>
      <c r="AA21" s="66" t="str">
        <f t="shared" si="2"/>
        <v>Muy Baja</v>
      </c>
      <c r="AB21" s="65">
        <f t="shared" si="3"/>
        <v>0.12959999999999999</v>
      </c>
      <c r="AC21" s="67" t="str">
        <f t="shared" si="4"/>
        <v>Moderado</v>
      </c>
      <c r="AD21" s="65">
        <f>IFERROR(IF(AND(S20="Impacto",S20="Impacto"),(AD20-(+AD20*V21)),IF(S21="Impacto",(M19-(+M19*V21)),IF(S21="Probabilidad",AD20,""))),"")</f>
        <v>0.6</v>
      </c>
      <c r="AE21" s="68" t="str">
        <f t="shared" si="7"/>
        <v>Muy Baja - Moderado</v>
      </c>
      <c r="AF21" s="78" t="str">
        <f>+VLOOKUP(AE21,Datos!$J$4:$K$28,2,)</f>
        <v>MODERADO</v>
      </c>
      <c r="AG21" s="179"/>
      <c r="AH21" s="2"/>
      <c r="AI21" s="170"/>
      <c r="AJ21" s="172"/>
      <c r="AK21" s="174"/>
      <c r="AM21" s="86"/>
      <c r="AN21" s="89"/>
      <c r="AO21" s="89"/>
      <c r="AP21" s="86"/>
      <c r="AQ21" s="86"/>
      <c r="AR21" s="83"/>
      <c r="AS21" s="202"/>
      <c r="AT21" s="195"/>
    </row>
    <row r="22" spans="1:46" ht="215.25" customHeight="1" x14ac:dyDescent="0.25">
      <c r="A22" s="164"/>
      <c r="B22" s="165"/>
      <c r="C22" s="166"/>
      <c r="D22" s="166"/>
      <c r="E22" s="166"/>
      <c r="F22" s="167"/>
      <c r="G22" s="165"/>
      <c r="H22" s="168"/>
      <c r="I22" s="169"/>
      <c r="J22" s="121"/>
      <c r="K22" s="152"/>
      <c r="L22" s="168"/>
      <c r="M22" s="184"/>
      <c r="N22" s="186"/>
      <c r="O22" s="189"/>
      <c r="P22" s="2"/>
      <c r="Q22" s="49">
        <v>4</v>
      </c>
      <c r="R22" s="33" t="s">
        <v>102</v>
      </c>
      <c r="S22" s="54" t="str">
        <f t="shared" si="8"/>
        <v>Impacto</v>
      </c>
      <c r="T22" s="6" t="s">
        <v>80</v>
      </c>
      <c r="U22" s="6" t="s">
        <v>66</v>
      </c>
      <c r="V22" s="58" t="str">
        <f t="shared" si="9"/>
        <v>25%</v>
      </c>
      <c r="W22" s="10" t="s">
        <v>67</v>
      </c>
      <c r="X22" s="10" t="s">
        <v>103</v>
      </c>
      <c r="Y22" s="10" t="s">
        <v>104</v>
      </c>
      <c r="Z22" s="65">
        <f>IFERROR(IF(AND(S21="Probabilidad",S22="Probabilidad"),(AB21-(+AB21*V22)),IF(S22="Probabilidad",(I19-(+I19*V22)),IF(S22="Impacto",AB21,""))),"")</f>
        <v>0.12959999999999999</v>
      </c>
      <c r="AA22" s="66" t="str">
        <f t="shared" ref="AA22" si="10">IFERROR(IF(Z22="","",IF(Z22&lt;=0.2,"Muy Baja",IF(Z22&lt;=0.4,"Baja",IF(Z22&lt;=0.6,"Media",IF(Z22&lt;=0.8,"Alta","Muy Alta"))))),"")</f>
        <v>Muy Baja</v>
      </c>
      <c r="AB22" s="65">
        <f t="shared" ref="AB22" si="11">+Z22</f>
        <v>0.12959999999999999</v>
      </c>
      <c r="AC22" s="67" t="str">
        <f t="shared" ref="AC22" si="12">IFERROR(IF(AD22="","",IF(AD22&lt;=0.2,"Leve",IF(AD22&lt;=0.4,"Menor",IF(AD22&lt;=0.6,"Moderado",IF(AD22&lt;=0.8,"Mayor","Catastrófico"))))),"")</f>
        <v>Moderado</v>
      </c>
      <c r="AD22" s="65">
        <f>IFERROR(IF(AND(S21="Impacto",S21="Impacto"),(AD21-(+AD21*V22)),IF(S22="Impacto",(M19-(+M19*V22)),IF(S22="Probabilidad",AD21,""))),"")</f>
        <v>0.44999999999999996</v>
      </c>
      <c r="AE22" s="68" t="str">
        <f t="shared" ref="AE22" si="13">+CONCATENATE(AA22, " - ", AC22)</f>
        <v>Muy Baja - Moderado</v>
      </c>
      <c r="AF22" s="78" t="str">
        <f>+VLOOKUP(AE22,Datos!$J$4:$K$28,2,)</f>
        <v>MODERADO</v>
      </c>
      <c r="AG22" s="180"/>
      <c r="AH22" s="2"/>
      <c r="AI22" s="170"/>
      <c r="AJ22" s="172"/>
      <c r="AK22" s="174"/>
      <c r="AM22" s="86"/>
      <c r="AN22" s="89"/>
      <c r="AO22" s="89"/>
      <c r="AP22" s="86"/>
      <c r="AQ22" s="86"/>
      <c r="AR22" s="83"/>
      <c r="AS22" s="202"/>
      <c r="AT22" s="195"/>
    </row>
    <row r="23" spans="1:46" ht="181.5" customHeight="1" x14ac:dyDescent="0.25">
      <c r="A23" s="164"/>
      <c r="B23" s="165"/>
      <c r="C23" s="166"/>
      <c r="D23" s="166"/>
      <c r="E23" s="166"/>
      <c r="F23" s="167"/>
      <c r="G23" s="165"/>
      <c r="H23" s="168"/>
      <c r="I23" s="169"/>
      <c r="J23" s="177"/>
      <c r="K23" s="183"/>
      <c r="L23" s="168"/>
      <c r="M23" s="184"/>
      <c r="N23" s="187"/>
      <c r="O23" s="190"/>
      <c r="P23" s="2"/>
      <c r="Q23" s="9">
        <v>5</v>
      </c>
      <c r="R23" s="81" t="s">
        <v>105</v>
      </c>
      <c r="S23" s="55" t="str">
        <f t="shared" si="0"/>
        <v>Impacto</v>
      </c>
      <c r="T23" s="22" t="s">
        <v>80</v>
      </c>
      <c r="U23" s="22" t="s">
        <v>66</v>
      </c>
      <c r="V23" s="59" t="str">
        <f t="shared" si="6"/>
        <v>25%</v>
      </c>
      <c r="W23" s="23" t="s">
        <v>67</v>
      </c>
      <c r="X23" s="23" t="s">
        <v>106</v>
      </c>
      <c r="Y23" s="23" t="s">
        <v>107</v>
      </c>
      <c r="Z23" s="69">
        <f>IFERROR(IF(AND(S22="Probabilidad",S23="Probabilidad"),(AB22-(+AB22*V23)),IF(S23="Probabilidad",(I20-(+I20*V23)),IF(S23="Impacto",AB22,""))),"")</f>
        <v>0.12959999999999999</v>
      </c>
      <c r="AA23" s="70" t="str">
        <f t="shared" ref="AA23" si="14">IFERROR(IF(Z23="","",IF(Z23&lt;=0.2,"Muy Baja",IF(Z23&lt;=0.4,"Baja",IF(Z23&lt;=0.6,"Media",IF(Z23&lt;=0.8,"Alta","Muy Alta"))))),"")</f>
        <v>Muy Baja</v>
      </c>
      <c r="AB23" s="69">
        <f t="shared" ref="AB23" si="15">+Z23</f>
        <v>0.12959999999999999</v>
      </c>
      <c r="AC23" s="71" t="str">
        <f t="shared" ref="AC23" si="16">IFERROR(IF(AD23="","",IF(AD23&lt;=0.2,"Leve",IF(AD23&lt;=0.4,"Menor",IF(AD23&lt;=0.6,"Moderado",IF(AD23&lt;=0.8,"Mayor","Catastrófico"))))),"")</f>
        <v>Menor</v>
      </c>
      <c r="AD23" s="69">
        <f>IFERROR(IF(AND(S22="Impacto",S22="Impacto"),(AD22-(+AD22*V23)),IF(S23="Impacto",(M20-(+M20*V23)),IF(S23="Probabilidad",AD22,""))),"")</f>
        <v>0.33749999999999997</v>
      </c>
      <c r="AE23" s="72" t="str">
        <f t="shared" ref="AE23" si="17">+CONCATENATE(AA23, " - ", AC23)</f>
        <v>Muy Baja - Menor</v>
      </c>
      <c r="AF23" s="79" t="str">
        <f>+VLOOKUP(AE23,Datos!$J$4:$K$28,2,)</f>
        <v>BAJO</v>
      </c>
      <c r="AG23" s="181"/>
      <c r="AH23" s="2"/>
      <c r="AI23" s="171"/>
      <c r="AJ23" s="173"/>
      <c r="AK23" s="175"/>
      <c r="AM23" s="87"/>
      <c r="AN23" s="90"/>
      <c r="AO23" s="90"/>
      <c r="AP23" s="87"/>
      <c r="AQ23" s="87"/>
      <c r="AR23" s="83"/>
      <c r="AS23" s="203"/>
      <c r="AT23" s="195"/>
    </row>
    <row r="24" spans="1:46" x14ac:dyDescent="0.25">
      <c r="P24" s="2"/>
      <c r="AR24" s="44"/>
    </row>
    <row r="25" spans="1:46" x14ac:dyDescent="0.25">
      <c r="P25" s="2"/>
    </row>
    <row r="26" spans="1:46" x14ac:dyDescent="0.25">
      <c r="P26" s="2"/>
    </row>
    <row r="27" spans="1:46" x14ac:dyDescent="0.25">
      <c r="P27" s="2"/>
    </row>
    <row r="28" spans="1:46" x14ac:dyDescent="0.25">
      <c r="P28" s="2"/>
    </row>
    <row r="29" spans="1:46" x14ac:dyDescent="0.25">
      <c r="P29" s="2"/>
    </row>
    <row r="30" spans="1:46" x14ac:dyDescent="0.25">
      <c r="P30" s="2"/>
    </row>
    <row r="31" spans="1:46" x14ac:dyDescent="0.25">
      <c r="P31" s="2"/>
    </row>
    <row r="32" spans="1:46" x14ac:dyDescent="0.25">
      <c r="P32" s="2"/>
    </row>
    <row r="33" spans="16:16" x14ac:dyDescent="0.25">
      <c r="P33" s="2"/>
    </row>
  </sheetData>
  <mergeCells count="76">
    <mergeCell ref="AT19:AT23"/>
    <mergeCell ref="AQ1:AR2"/>
    <mergeCell ref="AS1:AT2"/>
    <mergeCell ref="AQ3:AR4"/>
    <mergeCell ref="AS3:AT4"/>
    <mergeCell ref="AS19:AS23"/>
    <mergeCell ref="AM14:AQ15"/>
    <mergeCell ref="AS14:AT15"/>
    <mergeCell ref="AS17:AS18"/>
    <mergeCell ref="AT17:AT18"/>
    <mergeCell ref="C5:AP8"/>
    <mergeCell ref="AQ5:AR6"/>
    <mergeCell ref="AS5:AT6"/>
    <mergeCell ref="AQ7:AR8"/>
    <mergeCell ref="AS7:AT8"/>
    <mergeCell ref="AI19:AI23"/>
    <mergeCell ref="AJ19:AJ23"/>
    <mergeCell ref="AK19:AK23"/>
    <mergeCell ref="J19:J23"/>
    <mergeCell ref="AG19:AG23"/>
    <mergeCell ref="K19:K23"/>
    <mergeCell ref="L19:L23"/>
    <mergeCell ref="M19:M23"/>
    <mergeCell ref="N19:N23"/>
    <mergeCell ref="O19:O23"/>
    <mergeCell ref="E19:E23"/>
    <mergeCell ref="F19:F23"/>
    <mergeCell ref="G19:G23"/>
    <mergeCell ref="H19:H23"/>
    <mergeCell ref="I19:I23"/>
    <mergeCell ref="A19:A23"/>
    <mergeCell ref="B19:B23"/>
    <mergeCell ref="C19:C23"/>
    <mergeCell ref="D19:D23"/>
    <mergeCell ref="B17:B18"/>
    <mergeCell ref="A1:B8"/>
    <mergeCell ref="C1:AP4"/>
    <mergeCell ref="AI14:AK15"/>
    <mergeCell ref="AI17:AI18"/>
    <mergeCell ref="AJ17:AJ18"/>
    <mergeCell ref="AK17:AK18"/>
    <mergeCell ref="K17:K18"/>
    <mergeCell ref="N17:N18"/>
    <mergeCell ref="AG17:AG18"/>
    <mergeCell ref="A10:C10"/>
    <mergeCell ref="D10:M10"/>
    <mergeCell ref="A11:C11"/>
    <mergeCell ref="D11:M11"/>
    <mergeCell ref="A12:C12"/>
    <mergeCell ref="D12:M12"/>
    <mergeCell ref="E17:E18"/>
    <mergeCell ref="A14:O15"/>
    <mergeCell ref="Q14:AG14"/>
    <mergeCell ref="Z15:AG15"/>
    <mergeCell ref="T15:Y15"/>
    <mergeCell ref="M17:M18"/>
    <mergeCell ref="F17:F18"/>
    <mergeCell ref="C17:C18"/>
    <mergeCell ref="D17:D18"/>
    <mergeCell ref="G17:G18"/>
    <mergeCell ref="H17:H18"/>
    <mergeCell ref="I17:I18"/>
    <mergeCell ref="O17:O18"/>
    <mergeCell ref="L17:L18"/>
    <mergeCell ref="J17:J18"/>
    <mergeCell ref="A17:A18"/>
    <mergeCell ref="AM19:AM23"/>
    <mergeCell ref="AN19:AN23"/>
    <mergeCell ref="AP17:AP18"/>
    <mergeCell ref="AQ17:AQ18"/>
    <mergeCell ref="AO19:AO23"/>
    <mergeCell ref="AP19:AP23"/>
    <mergeCell ref="AQ19:AQ23"/>
    <mergeCell ref="AM17:AM18"/>
    <mergeCell ref="AN17:AN18"/>
    <mergeCell ref="AO17:AO18"/>
  </mergeCells>
  <conditionalFormatting sqref="H17:H23">
    <cfRule type="cellIs" dxfId="158" priority="173" operator="equal">
      <formula>"Muy Alta"</formula>
    </cfRule>
    <cfRule type="cellIs" dxfId="157" priority="174" operator="equal">
      <formula>"Alta"</formula>
    </cfRule>
    <cfRule type="cellIs" dxfId="156" priority="175" operator="equal">
      <formula>"Media"</formula>
    </cfRule>
    <cfRule type="cellIs" dxfId="155" priority="176" operator="equal">
      <formula>"Muy Baja"</formula>
    </cfRule>
    <cfRule type="cellIs" dxfId="154" priority="177" operator="equal">
      <formula>"Baja"</formula>
    </cfRule>
  </conditionalFormatting>
  <conditionalFormatting sqref="L17:L23">
    <cfRule type="cellIs" dxfId="153" priority="166" operator="equal">
      <formula>"Leve"</formula>
    </cfRule>
    <cfRule type="cellIs" dxfId="152" priority="167" operator="equal">
      <formula>"Catastrófico"</formula>
    </cfRule>
    <cfRule type="cellIs" dxfId="151" priority="168" operator="equal">
      <formula>"Mayor"</formula>
    </cfRule>
    <cfRule type="cellIs" dxfId="150" priority="169" operator="equal">
      <formula>"Moderado"</formula>
    </cfRule>
    <cfRule type="cellIs" dxfId="149" priority="171" operator="equal">
      <formula>"Menor"</formula>
    </cfRule>
  </conditionalFormatting>
  <conditionalFormatting sqref="O17:O23 AF21:AF23">
    <cfRule type="cellIs" dxfId="148" priority="160" operator="equal">
      <formula>"EXTREMO"</formula>
    </cfRule>
    <cfRule type="cellIs" dxfId="147" priority="161" operator="equal">
      <formula>"ALTO"</formula>
    </cfRule>
    <cfRule type="cellIs" dxfId="146" priority="163" operator="equal">
      <formula>"BAJO"</formula>
    </cfRule>
    <cfRule type="cellIs" dxfId="145" priority="164" operator="equal">
      <formula>"MODERADO"</formula>
    </cfRule>
  </conditionalFormatting>
  <conditionalFormatting sqref="AA17:AA18">
    <cfRule type="cellIs" dxfId="144" priority="155" operator="equal">
      <formula>"B+$Z$17Muy Baja"</formula>
    </cfRule>
    <cfRule type="cellIs" dxfId="143" priority="156" operator="equal">
      <formula>"Baja"</formula>
    </cfRule>
    <cfRule type="cellIs" dxfId="142" priority="157" operator="equal">
      <formula>"Media"</formula>
    </cfRule>
    <cfRule type="cellIs" dxfId="141" priority="158" operator="equal">
      <formula>"Muy Alta"</formula>
    </cfRule>
    <cfRule type="cellIs" dxfId="140" priority="159" operator="equal">
      <formula>"Alta"</formula>
    </cfRule>
  </conditionalFormatting>
  <conditionalFormatting sqref="AC17:AC18 AC21:AC23">
    <cfRule type="cellIs" dxfId="139" priority="150" operator="equal">
      <formula>"Catastrófico"</formula>
    </cfRule>
    <cfRule type="cellIs" dxfId="138" priority="151" operator="equal">
      <formula>"Mayor"</formula>
    </cfRule>
    <cfRule type="cellIs" dxfId="137" priority="152" operator="equal">
      <formula>"Moderado"</formula>
    </cfRule>
    <cfRule type="cellIs" dxfId="136" priority="153" operator="equal">
      <formula>"Menor"</formula>
    </cfRule>
    <cfRule type="cellIs" dxfId="135" priority="154" operator="equal">
      <formula>"Leve"</formula>
    </cfRule>
  </conditionalFormatting>
  <conditionalFormatting sqref="AF17:AF18">
    <cfRule type="cellIs" dxfId="134" priority="146" operator="equal">
      <formula>"EXTREMO"</formula>
    </cfRule>
    <cfRule type="cellIs" dxfId="133" priority="147" operator="equal">
      <formula>"ALTO"</formula>
    </cfRule>
    <cfRule type="cellIs" dxfId="132" priority="148" operator="equal">
      <formula>"BAJO"</formula>
    </cfRule>
    <cfRule type="cellIs" dxfId="131" priority="149" operator="equal">
      <formula>"MODERADO"</formula>
    </cfRule>
  </conditionalFormatting>
  <conditionalFormatting sqref="AA19:AA20">
    <cfRule type="cellIs" dxfId="130" priority="99" operator="equal">
      <formula>"B+$Z$17Muy Baja"</formula>
    </cfRule>
    <cfRule type="cellIs" dxfId="129" priority="100" operator="equal">
      <formula>"Baja"</formula>
    </cfRule>
    <cfRule type="cellIs" dxfId="128" priority="101" operator="equal">
      <formula>"Media"</formula>
    </cfRule>
    <cfRule type="cellIs" dxfId="127" priority="102" operator="equal">
      <formula>"Muy Alta"</formula>
    </cfRule>
    <cfRule type="cellIs" dxfId="126" priority="103" operator="equal">
      <formula>"Alta"</formula>
    </cfRule>
  </conditionalFormatting>
  <conditionalFormatting sqref="AC19:AC20">
    <cfRule type="cellIs" dxfId="125" priority="94" operator="equal">
      <formula>"Catastrófico"</formula>
    </cfRule>
    <cfRule type="cellIs" dxfId="124" priority="95" operator="equal">
      <formula>"Mayor"</formula>
    </cfRule>
    <cfRule type="cellIs" dxfId="123" priority="96" operator="equal">
      <formula>"Moderado"</formula>
    </cfRule>
    <cfRule type="cellIs" dxfId="122" priority="97" operator="equal">
      <formula>"Menor"</formula>
    </cfRule>
    <cfRule type="cellIs" dxfId="121" priority="98" operator="equal">
      <formula>"Leve"</formula>
    </cfRule>
  </conditionalFormatting>
  <conditionalFormatting sqref="AF19:AF20">
    <cfRule type="cellIs" dxfId="120" priority="90" operator="equal">
      <formula>"EXTREMO"</formula>
    </cfRule>
    <cfRule type="cellIs" dxfId="119" priority="91" operator="equal">
      <formula>"ALTO"</formula>
    </cfRule>
    <cfRule type="cellIs" dxfId="118" priority="92" operator="equal">
      <formula>"BAJO"</formula>
    </cfRule>
    <cfRule type="cellIs" dxfId="117" priority="93" operator="equal">
      <formula>"MODERADO"</formula>
    </cfRule>
  </conditionalFormatting>
  <conditionalFormatting sqref="AA21:AA23">
    <cfRule type="cellIs" dxfId="116" priority="85" stopIfTrue="1" operator="equal">
      <formula>"Muy Baja"</formula>
    </cfRule>
    <cfRule type="cellIs" dxfId="115" priority="86" operator="equal">
      <formula>"Baja"</formula>
    </cfRule>
    <cfRule type="cellIs" dxfId="114" priority="87" operator="equal">
      <formula>"Media"</formula>
    </cfRule>
    <cfRule type="cellIs" dxfId="113" priority="88" operator="equal">
      <formula>"Muy Alta"</formula>
    </cfRule>
    <cfRule type="cellIs" dxfId="112" priority="89" operator="equal">
      <formula>"Alta"</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M17 L18:M18" evalError="1"/>
    <ignoredError sqref="Z18" 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Datos!$A$4:$A$6</xm:f>
          </x14:formula1>
          <xm:sqref>B17:B23</xm:sqref>
        </x14:dataValidation>
        <x14:dataValidation type="list" allowBlank="1" showInputMessage="1" showErrorMessage="1">
          <x14:formula1>
            <xm:f>Datos!$O$3:$O$15</xm:f>
          </x14:formula1>
          <xm:sqref>J17:J23</xm:sqref>
        </x14:dataValidation>
        <x14:dataValidation type="list" allowBlank="1" showInputMessage="1" showErrorMessage="1">
          <x14:formula1>
            <xm:f>Datos!$P$19:$P$22</xm:f>
          </x14:formula1>
          <xm:sqref>T17:T23</xm:sqref>
        </x14:dataValidation>
        <x14:dataValidation type="list" allowBlank="1" showInputMessage="1" showErrorMessage="1">
          <x14:formula1>
            <xm:f>Datos!$P$25:$P$26</xm:f>
          </x14:formula1>
          <xm:sqref>U17:U23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31"/>
  <sheetViews>
    <sheetView showGridLines="0" topLeftCell="A10" zoomScale="60" zoomScaleNormal="60" zoomScaleSheetLayoutView="90" workbookViewId="0">
      <selection activeCell="J17" sqref="J17:J18"/>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hidden="1"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customWidth="1"/>
    <col min="20" max="22" width="5.140625" style="1" customWidth="1"/>
    <col min="23" max="23" width="16.7109375" style="1" customWidth="1"/>
    <col min="24" max="24" width="11.42578125" style="1"/>
    <col min="25" max="27" width="7.28515625" style="1" customWidth="1"/>
    <col min="28" max="28" width="10.8554687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6" width="45" customWidth="1"/>
  </cols>
  <sheetData>
    <row r="1" spans="1:46" ht="15.75" customHeight="1" x14ac:dyDescent="0.25">
      <c r="A1" s="124"/>
      <c r="B1" s="125"/>
      <c r="C1" s="130" t="s">
        <v>19</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2"/>
      <c r="AQ1" s="124" t="s">
        <v>1</v>
      </c>
      <c r="AR1" s="125"/>
      <c r="AS1" s="196" t="s">
        <v>2</v>
      </c>
      <c r="AT1" s="192"/>
    </row>
    <row r="2" spans="1:46" ht="15.75" customHeight="1" thickBot="1" x14ac:dyDescent="0.3">
      <c r="A2" s="126"/>
      <c r="B2" s="127"/>
      <c r="C2" s="133"/>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5"/>
      <c r="AQ2" s="128"/>
      <c r="AR2" s="129"/>
      <c r="AS2" s="193"/>
      <c r="AT2" s="194"/>
    </row>
    <row r="3" spans="1:46" ht="15.75" customHeight="1" x14ac:dyDescent="0.25">
      <c r="A3" s="126"/>
      <c r="B3" s="127"/>
      <c r="C3" s="133"/>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5"/>
      <c r="AQ3" s="124" t="s">
        <v>3</v>
      </c>
      <c r="AR3" s="125"/>
      <c r="AS3" s="197" t="s">
        <v>4</v>
      </c>
      <c r="AT3" s="198"/>
    </row>
    <row r="4" spans="1:46" ht="16.5" customHeight="1" thickBot="1" x14ac:dyDescent="0.3">
      <c r="A4" s="126"/>
      <c r="B4" s="127"/>
      <c r="C4" s="136"/>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8"/>
      <c r="AQ4" s="128"/>
      <c r="AR4" s="129"/>
      <c r="AS4" s="199"/>
      <c r="AT4" s="200"/>
    </row>
    <row r="5" spans="1:46" ht="20.45" customHeight="1" x14ac:dyDescent="0.25">
      <c r="A5" s="126"/>
      <c r="B5" s="127"/>
      <c r="C5" s="133" t="s">
        <v>5</v>
      </c>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5"/>
      <c r="AQ5" s="124" t="s">
        <v>6</v>
      </c>
      <c r="AR5" s="125"/>
      <c r="AS5" s="124" t="s">
        <v>7</v>
      </c>
      <c r="AT5" s="125"/>
    </row>
    <row r="6" spans="1:46" ht="15" customHeight="1" thickBot="1" x14ac:dyDescent="0.3">
      <c r="A6" s="126"/>
      <c r="B6" s="127"/>
      <c r="C6" s="133"/>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5"/>
      <c r="AQ6" s="128"/>
      <c r="AR6" s="129"/>
      <c r="AS6" s="128"/>
      <c r="AT6" s="129"/>
    </row>
    <row r="7" spans="1:46" ht="15.75" customHeight="1" x14ac:dyDescent="0.25">
      <c r="A7" s="126"/>
      <c r="B7" s="127"/>
      <c r="C7" s="133"/>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24" t="s">
        <v>8</v>
      </c>
      <c r="AR7" s="125"/>
      <c r="AS7" s="191">
        <v>44651</v>
      </c>
      <c r="AT7" s="192"/>
    </row>
    <row r="8" spans="1:46" ht="16.5" customHeight="1" thickBot="1" x14ac:dyDescent="0.3">
      <c r="A8" s="128"/>
      <c r="B8" s="129"/>
      <c r="C8" s="136"/>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8"/>
      <c r="AQ8" s="128"/>
      <c r="AR8" s="129"/>
      <c r="AS8" s="193"/>
      <c r="AT8" s="194"/>
    </row>
    <row r="10" spans="1:46" ht="54" customHeight="1" x14ac:dyDescent="0.25">
      <c r="A10" s="157" t="s">
        <v>9</v>
      </c>
      <c r="B10" s="157"/>
      <c r="C10" s="157"/>
      <c r="D10" s="158" t="s">
        <v>170</v>
      </c>
      <c r="E10" s="159"/>
      <c r="F10" s="159"/>
      <c r="G10" s="159"/>
      <c r="H10" s="159"/>
      <c r="I10" s="159"/>
      <c r="J10" s="159"/>
      <c r="K10" s="159"/>
      <c r="L10" s="159"/>
      <c r="M10" s="160"/>
      <c r="N10" s="29"/>
      <c r="AG10" s="1"/>
      <c r="AH10" s="1"/>
      <c r="AI10" s="1"/>
    </row>
    <row r="11" spans="1:46" s="3" customFormat="1" ht="75" customHeight="1" x14ac:dyDescent="0.25">
      <c r="A11" s="157" t="s">
        <v>11</v>
      </c>
      <c r="B11" s="157"/>
      <c r="C11" s="157"/>
      <c r="D11" s="161" t="s">
        <v>171</v>
      </c>
      <c r="E11" s="162"/>
      <c r="F11" s="162"/>
      <c r="G11" s="162"/>
      <c r="H11" s="162"/>
      <c r="I11" s="162"/>
      <c r="J11" s="162"/>
      <c r="K11" s="162"/>
      <c r="L11" s="162"/>
      <c r="M11" s="163"/>
      <c r="N11" s="30"/>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75" customHeight="1" x14ac:dyDescent="0.25">
      <c r="A12" s="157" t="s">
        <v>13</v>
      </c>
      <c r="B12" s="157"/>
      <c r="C12" s="157"/>
      <c r="D12" s="161" t="s">
        <v>172</v>
      </c>
      <c r="E12" s="162"/>
      <c r="F12" s="162"/>
      <c r="G12" s="162"/>
      <c r="H12" s="162"/>
      <c r="I12" s="162"/>
      <c r="J12" s="162"/>
      <c r="K12" s="162"/>
      <c r="L12" s="162"/>
      <c r="M12" s="163"/>
      <c r="N12" s="30"/>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x14ac:dyDescent="0.25">
      <c r="A14" s="93" t="s">
        <v>15</v>
      </c>
      <c r="B14" s="94"/>
      <c r="C14" s="94"/>
      <c r="D14" s="94"/>
      <c r="E14" s="94"/>
      <c r="F14" s="94"/>
      <c r="G14" s="94"/>
      <c r="H14" s="94"/>
      <c r="I14" s="94"/>
      <c r="J14" s="94"/>
      <c r="K14" s="94"/>
      <c r="L14" s="94"/>
      <c r="M14" s="94"/>
      <c r="N14" s="95"/>
      <c r="O14" s="96"/>
      <c r="P14" s="2"/>
      <c r="Q14" s="101" t="s">
        <v>16</v>
      </c>
      <c r="R14" s="102"/>
      <c r="S14" s="102"/>
      <c r="T14" s="103"/>
      <c r="U14" s="103"/>
      <c r="V14" s="103"/>
      <c r="W14" s="103"/>
      <c r="X14" s="103"/>
      <c r="Y14" s="103"/>
      <c r="Z14" s="102"/>
      <c r="AA14" s="102"/>
      <c r="AB14" s="102"/>
      <c r="AC14" s="102"/>
      <c r="AD14" s="102"/>
      <c r="AE14" s="102"/>
      <c r="AF14" s="102"/>
      <c r="AG14" s="104"/>
      <c r="AH14" s="2"/>
      <c r="AI14" s="139" t="s">
        <v>17</v>
      </c>
      <c r="AJ14" s="140"/>
      <c r="AK14" s="141"/>
      <c r="AM14" s="206" t="s">
        <v>18</v>
      </c>
      <c r="AN14" s="207"/>
      <c r="AO14" s="207"/>
      <c r="AP14" s="207"/>
      <c r="AQ14" s="208"/>
      <c r="AR14" s="44"/>
      <c r="AS14" s="139" t="s">
        <v>19</v>
      </c>
      <c r="AT14" s="141"/>
    </row>
    <row r="15" spans="1:46" x14ac:dyDescent="0.25">
      <c r="A15" s="97"/>
      <c r="B15" s="98"/>
      <c r="C15" s="98"/>
      <c r="D15" s="98"/>
      <c r="E15" s="98"/>
      <c r="F15" s="98"/>
      <c r="G15" s="98"/>
      <c r="H15" s="98"/>
      <c r="I15" s="98"/>
      <c r="J15" s="98"/>
      <c r="K15" s="98"/>
      <c r="L15" s="98"/>
      <c r="M15" s="98"/>
      <c r="N15" s="99"/>
      <c r="O15" s="100"/>
      <c r="P15" s="2"/>
      <c r="Q15" s="31"/>
      <c r="R15" s="32"/>
      <c r="S15" s="32"/>
      <c r="T15" s="107" t="s">
        <v>20</v>
      </c>
      <c r="U15" s="107"/>
      <c r="V15" s="107"/>
      <c r="W15" s="107"/>
      <c r="X15" s="107"/>
      <c r="Y15" s="107"/>
      <c r="Z15" s="105"/>
      <c r="AA15" s="105"/>
      <c r="AB15" s="105"/>
      <c r="AC15" s="105"/>
      <c r="AD15" s="105"/>
      <c r="AE15" s="105"/>
      <c r="AF15" s="105"/>
      <c r="AG15" s="106"/>
      <c r="AH15" s="2"/>
      <c r="AI15" s="142"/>
      <c r="AJ15" s="143"/>
      <c r="AK15" s="144"/>
      <c r="AM15" s="209"/>
      <c r="AN15" s="143"/>
      <c r="AO15" s="143"/>
      <c r="AP15" s="143"/>
      <c r="AQ15" s="210"/>
      <c r="AR15" s="44"/>
      <c r="AS15" s="142"/>
      <c r="AT15" s="144"/>
    </row>
    <row r="16" spans="1:46" s="5" customFormat="1" ht="106.5" customHeight="1" thickBot="1" x14ac:dyDescent="0.3">
      <c r="A16" s="11" t="s">
        <v>21</v>
      </c>
      <c r="B16" s="12" t="s">
        <v>22</v>
      </c>
      <c r="C16" s="13" t="s">
        <v>23</v>
      </c>
      <c r="D16" s="13" t="s">
        <v>173</v>
      </c>
      <c r="E16" s="14" t="s">
        <v>25</v>
      </c>
      <c r="F16" s="84" t="s">
        <v>26</v>
      </c>
      <c r="G16" s="48" t="s">
        <v>27</v>
      </c>
      <c r="H16" s="14" t="s">
        <v>28</v>
      </c>
      <c r="I16" s="13" t="s">
        <v>29</v>
      </c>
      <c r="J16" s="13" t="s">
        <v>30</v>
      </c>
      <c r="K16" s="14" t="s">
        <v>174</v>
      </c>
      <c r="L16" s="14" t="s">
        <v>32</v>
      </c>
      <c r="M16" s="13" t="s">
        <v>29</v>
      </c>
      <c r="N16" s="13" t="s">
        <v>33</v>
      </c>
      <c r="O16" s="15" t="s">
        <v>34</v>
      </c>
      <c r="P16" s="2"/>
      <c r="Q16" s="16" t="s">
        <v>35</v>
      </c>
      <c r="R16" s="17" t="s">
        <v>36</v>
      </c>
      <c r="S16" s="35" t="s">
        <v>37</v>
      </c>
      <c r="T16" s="18" t="s">
        <v>38</v>
      </c>
      <c r="U16" s="18" t="s">
        <v>39</v>
      </c>
      <c r="V16" s="18" t="s">
        <v>40</v>
      </c>
      <c r="W16" s="18" t="s">
        <v>41</v>
      </c>
      <c r="X16" s="18" t="s">
        <v>42</v>
      </c>
      <c r="Y16" s="18" t="s">
        <v>43</v>
      </c>
      <c r="Z16" s="19" t="s">
        <v>44</v>
      </c>
      <c r="AA16" s="19" t="s">
        <v>45</v>
      </c>
      <c r="AB16" s="19" t="s">
        <v>29</v>
      </c>
      <c r="AC16" s="19" t="s">
        <v>46</v>
      </c>
      <c r="AD16" s="19" t="s">
        <v>29</v>
      </c>
      <c r="AE16" s="19" t="s">
        <v>33</v>
      </c>
      <c r="AF16" s="19" t="s">
        <v>47</v>
      </c>
      <c r="AG16" s="15" t="s">
        <v>48</v>
      </c>
      <c r="AH16" s="2"/>
      <c r="AI16" s="20" t="s">
        <v>49</v>
      </c>
      <c r="AJ16" s="17" t="s">
        <v>50</v>
      </c>
      <c r="AK16" s="43" t="s">
        <v>51</v>
      </c>
      <c r="AM16" s="211" t="s">
        <v>52</v>
      </c>
      <c r="AN16" s="46" t="s">
        <v>53</v>
      </c>
      <c r="AO16" s="46" t="s">
        <v>175</v>
      </c>
      <c r="AP16" s="46" t="s">
        <v>55</v>
      </c>
      <c r="AQ16" s="212" t="s">
        <v>56</v>
      </c>
      <c r="AR16" s="45"/>
      <c r="AS16" s="46" t="s">
        <v>57</v>
      </c>
      <c r="AT16" s="47" t="s">
        <v>58</v>
      </c>
    </row>
    <row r="17" spans="1:46" ht="249.75" customHeight="1" x14ac:dyDescent="0.25">
      <c r="A17" s="122" t="s">
        <v>176</v>
      </c>
      <c r="B17" s="114" t="s">
        <v>59</v>
      </c>
      <c r="C17" s="112" t="s">
        <v>177</v>
      </c>
      <c r="D17" s="213" t="s">
        <v>178</v>
      </c>
      <c r="E17" s="112" t="s">
        <v>179</v>
      </c>
      <c r="F17" s="110"/>
      <c r="G17" s="114">
        <v>67</v>
      </c>
      <c r="H17" s="116" t="str">
        <f>IF(G17&lt;=0,"",IF(G17&lt;=2,"Muy Baja",IF(G17&lt;=24,"Baja",IF(G17&lt;=500,"Media",IF(G17&lt;=5000,"Alta","Muy Alta")))))</f>
        <v>Media</v>
      </c>
      <c r="I17" s="108">
        <f>IF(H17="","",IF(H17="Muy Baja",0.2,IF(H17="Baja",0.4,IF(H17="Media",0.6,IF(H17="Alta",0.8,IF(H17="Muy Alta",1,))))))</f>
        <v>0.6</v>
      </c>
      <c r="J17" s="120" t="s">
        <v>86</v>
      </c>
      <c r="K17" s="151" t="str">
        <f>+J17</f>
        <v>El riesgo afecta la imagen de la entidad con algunos usuarios de relevancia frente al logro de los objetivos.</v>
      </c>
      <c r="L17" s="116" t="str">
        <f>+VLOOKUP(K17,[1]Datos!$O$4:$P$15,2,FALSE)</f>
        <v>Moderado</v>
      </c>
      <c r="M17" s="108">
        <f>IF(L17="","",IF(L17="Leve",0.2,IF(L17="Menor",0.4,IF(L17="Moderado",0.6,IF(L17="Mayor",0.8,IF(L17="Catastrófico",1,))))))</f>
        <v>0.6</v>
      </c>
      <c r="N17" s="153" t="str">
        <f>+CONCATENATE(H17, " - ", L17)</f>
        <v>Media - Moderado</v>
      </c>
      <c r="O17" s="118" t="str">
        <f>+VLOOKUP(N17,[1]Datos!J4:K28,2,)</f>
        <v>MODERADO</v>
      </c>
      <c r="P17" s="40"/>
      <c r="Q17" s="21">
        <v>1</v>
      </c>
      <c r="R17" s="33" t="s">
        <v>180</v>
      </c>
      <c r="S17" s="53" t="str">
        <f t="shared" ref="S17:S21" si="0">IF(OR(T17="Preventivo",T17="Detectivo"),"Probabilidad",IF(T17="Correctivo","Impacto",""))</f>
        <v>Probabilidad</v>
      </c>
      <c r="T17" s="41" t="s">
        <v>65</v>
      </c>
      <c r="U17" s="41" t="s">
        <v>66</v>
      </c>
      <c r="V17" s="57" t="str">
        <f t="shared" ref="V17:V21" si="1">IF(AND(T17="Preventivo",U17="Automático"),"50%",IF(AND(T17="Preventivo",U17="Manual"),"40%",IF(AND(T17="Detectivo",U17="Automático"),"40%",IF(AND(T17="Detectivo",U17="Manual"),"30%",IF(AND(T17="Correctivo",U17="Automático"),"35%",IF(AND(T17="Correctivo",U17="Manual"),"25%",""))))))</f>
        <v>30%</v>
      </c>
      <c r="W17" s="10" t="s">
        <v>181</v>
      </c>
      <c r="X17" s="6" t="s">
        <v>182</v>
      </c>
      <c r="Y17" s="10" t="s">
        <v>183</v>
      </c>
      <c r="Z17" s="61">
        <f>IFERROR(IF(S17="Probabilidad",(I17-(+I17*V17)),IF(S17="Impacto",I17,"")),"")</f>
        <v>0.42</v>
      </c>
      <c r="AA17" s="62" t="str">
        <f t="shared" ref="AA17:AA21" si="2">IFERROR(IF(Z17="","",IF(Z17&lt;=0.2,"Muy Baja",IF(Z17&lt;=0.4,"Baja",IF(Z17&lt;=0.6,"Media",IF(Z17&lt;=0.8,"Alta","Muy Alta"))))),"")</f>
        <v>Media</v>
      </c>
      <c r="AB17" s="214">
        <f t="shared" ref="AB17:AB21" si="3">+Z17</f>
        <v>0.42</v>
      </c>
      <c r="AC17" s="63" t="str">
        <f t="shared" ref="AC17:AC21" si="4">IFERROR(IF(AD17="","",IF(AD17&lt;=0.2,"Leve",IF(AD17&lt;=0.4,"Menor",IF(AD17&lt;=0.6,"Moderado",IF(AD17&lt;=0.8,"Mayor","Catastrófico"))))),"")</f>
        <v>Moderado</v>
      </c>
      <c r="AD17" s="61">
        <f>IFERROR(IF(S17="Impacto",(M17-(+M17*V17)),IF(S17="Probabilidad",M17,"")),"")</f>
        <v>0.6</v>
      </c>
      <c r="AE17" s="64" t="str">
        <f>+CONCATENATE(AA17, " - ", AC17)</f>
        <v>Media - Moderado</v>
      </c>
      <c r="AF17" s="77" t="str">
        <f>+VLOOKUP(AE17,[1]Datos!$J$4:$K$28,2,)</f>
        <v>MODERADO</v>
      </c>
      <c r="AG17" s="155" t="s">
        <v>70</v>
      </c>
      <c r="AH17" s="40"/>
      <c r="AI17" s="215" t="s">
        <v>184</v>
      </c>
      <c r="AJ17" s="216" t="s">
        <v>185</v>
      </c>
      <c r="AK17" s="217">
        <v>44926</v>
      </c>
      <c r="AM17" s="218">
        <v>44937</v>
      </c>
      <c r="AN17" s="219" t="s">
        <v>186</v>
      </c>
      <c r="AO17" s="220" t="s">
        <v>187</v>
      </c>
      <c r="AP17" s="221"/>
      <c r="AQ17" s="222" t="s">
        <v>188</v>
      </c>
      <c r="AR17" s="45"/>
      <c r="AS17" s="223" t="s">
        <v>189</v>
      </c>
      <c r="AT17" s="224" t="s">
        <v>190</v>
      </c>
    </row>
    <row r="18" spans="1:46" ht="250.5" customHeight="1" thickBot="1" x14ac:dyDescent="0.3">
      <c r="A18" s="225"/>
      <c r="B18" s="226"/>
      <c r="C18" s="227"/>
      <c r="D18" s="228"/>
      <c r="E18" s="227"/>
      <c r="F18" s="229"/>
      <c r="G18" s="226"/>
      <c r="H18" s="230"/>
      <c r="I18" s="231"/>
      <c r="J18" s="232"/>
      <c r="K18" s="233"/>
      <c r="L18" s="230"/>
      <c r="M18" s="231"/>
      <c r="N18" s="234"/>
      <c r="O18" s="235"/>
      <c r="P18" s="236"/>
      <c r="Q18" s="9">
        <v>2</v>
      </c>
      <c r="R18" s="81" t="s">
        <v>191</v>
      </c>
      <c r="S18" s="55" t="str">
        <f t="shared" si="0"/>
        <v>Impacto</v>
      </c>
      <c r="T18" s="22" t="s">
        <v>80</v>
      </c>
      <c r="U18" s="22" t="s">
        <v>66</v>
      </c>
      <c r="V18" s="59" t="str">
        <f t="shared" si="1"/>
        <v>25%</v>
      </c>
      <c r="W18" s="23" t="s">
        <v>67</v>
      </c>
      <c r="X18" s="22" t="s">
        <v>192</v>
      </c>
      <c r="Y18" s="22" t="s">
        <v>193</v>
      </c>
      <c r="Z18" s="69">
        <f>IFERROR(IF(AND(S17="Probabilidad",S18="Probabilidad"),(AB17-(+AB17*V18)),IF(S18="Probabilidad",(I17-(+I17*V18)),IF(S18="Impacto",AB17,""))),"")</f>
        <v>0.42</v>
      </c>
      <c r="AA18" s="70" t="str">
        <f t="shared" si="2"/>
        <v>Media</v>
      </c>
      <c r="AB18" s="237">
        <f t="shared" si="3"/>
        <v>0.42</v>
      </c>
      <c r="AC18" s="71" t="str">
        <f t="shared" si="4"/>
        <v>Moderado</v>
      </c>
      <c r="AD18" s="69">
        <f>IFERROR(IF(AND(S17="Impacto",S17="Impacto"),(AD17-(+AD17*V18)),IF(S18="Impacto",(M17-(+M17*V18)),IF(S18="Probabilidad",AD17,""))),"")</f>
        <v>0.44999999999999996</v>
      </c>
      <c r="AE18" s="72" t="str">
        <f t="shared" ref="AE18" si="5">+CONCATENATE(AA18, " - ", AC18)</f>
        <v>Media - Moderado</v>
      </c>
      <c r="AF18" s="79" t="str">
        <f>+VLOOKUP(AE18,[1]Datos!$J$4:$K$28,2,)</f>
        <v>MODERADO</v>
      </c>
      <c r="AG18" s="238"/>
      <c r="AH18" s="236"/>
      <c r="AI18" s="239"/>
      <c r="AJ18" s="240"/>
      <c r="AK18" s="240"/>
      <c r="AM18" s="241">
        <v>44937</v>
      </c>
      <c r="AN18" s="242" t="s">
        <v>194</v>
      </c>
      <c r="AO18" s="243"/>
      <c r="AP18" s="244"/>
      <c r="AQ18" s="245"/>
      <c r="AR18" s="44"/>
      <c r="AS18" s="203"/>
      <c r="AT18" s="246"/>
    </row>
    <row r="19" spans="1:46" ht="237" customHeight="1" x14ac:dyDescent="0.25">
      <c r="A19" s="247">
        <v>2</v>
      </c>
      <c r="B19" s="248" t="s">
        <v>59</v>
      </c>
      <c r="C19" s="249" t="s">
        <v>195</v>
      </c>
      <c r="D19" s="249" t="s">
        <v>196</v>
      </c>
      <c r="E19" s="249" t="s">
        <v>197</v>
      </c>
      <c r="F19" s="250"/>
      <c r="G19" s="248">
        <v>15</v>
      </c>
      <c r="H19" s="251" t="str">
        <f>IF(G19&lt;=0,"",IF(G19&lt;=2,"Muy Baja",IF(G19&lt;=24,"Baja",IF(G19&lt;=500,"Media",IF(G19&lt;=5000,"Alta","Muy Alta")))))</f>
        <v>Baja</v>
      </c>
      <c r="I19" s="252">
        <f>IF(H19="","",IF(H19="Muy Baja",0.2,IF(H19="Baja",0.4,IF(H19="Media",0.6,IF(H19="Alta",0.8,IF(H19="Muy Alta",1,))))))</f>
        <v>0.4</v>
      </c>
      <c r="J19" s="121" t="s">
        <v>63</v>
      </c>
      <c r="K19" s="152" t="str">
        <f>+J19</f>
        <v>El riesgo afecta la imagen de la entidad internamente, de conocimiento general nivel interno, de junta directiva y/o de proveedores</v>
      </c>
      <c r="L19" s="251" t="str">
        <f>+VLOOKUP(K19,[1]Datos!$O$4:$P$15,2,FALSE)</f>
        <v>Menor</v>
      </c>
      <c r="M19" s="252">
        <f>IF(L19="","",IF(L19="Leve",0.2,IF(L19="Menor",0.4,IF(L19="Moderado",0.6,IF(L19="Mayor",0.8,IF(L19="Catastrófico",1,))))))</f>
        <v>0.4</v>
      </c>
      <c r="N19" s="154" t="str">
        <f>+CONCATENATE(H19, " - ", L19)</f>
        <v>Baja - Menor</v>
      </c>
      <c r="O19" s="119" t="str">
        <f>+VLOOKUP(N19,[1]Datos!J10:K34,2,)</f>
        <v>MODERADO</v>
      </c>
      <c r="P19" s="2"/>
      <c r="Q19" s="36">
        <v>1</v>
      </c>
      <c r="R19" s="34" t="s">
        <v>198</v>
      </c>
      <c r="S19" s="56" t="str">
        <f t="shared" si="0"/>
        <v>Probabilidad</v>
      </c>
      <c r="T19" s="38" t="s">
        <v>88</v>
      </c>
      <c r="U19" s="38" t="s">
        <v>66</v>
      </c>
      <c r="V19" s="60" t="str">
        <f t="shared" si="1"/>
        <v>40%</v>
      </c>
      <c r="W19" s="39" t="s">
        <v>67</v>
      </c>
      <c r="X19" s="39" t="s">
        <v>199</v>
      </c>
      <c r="Y19" s="39" t="s">
        <v>200</v>
      </c>
      <c r="Z19" s="73">
        <f>IFERROR(IF(S19="Probabilidad",(I19-(+I19*V19)),IF(S19="Impacto",I19,"")),"")</f>
        <v>0.24</v>
      </c>
      <c r="AA19" s="74" t="str">
        <f t="shared" si="2"/>
        <v>Baja</v>
      </c>
      <c r="AB19" s="253">
        <f t="shared" si="3"/>
        <v>0.24</v>
      </c>
      <c r="AC19" s="75" t="str">
        <f t="shared" si="4"/>
        <v>Menor</v>
      </c>
      <c r="AD19" s="73">
        <f>IFERROR(IF(S19="Impacto",(M19-(+M19*V19)),IF(S19="Probabilidad",M19,"")),"")</f>
        <v>0.4</v>
      </c>
      <c r="AE19" s="76" t="str">
        <f>+CONCATENATE(AA19, " - ", AC19)</f>
        <v>Baja - Menor</v>
      </c>
      <c r="AF19" s="80" t="str">
        <f>+VLOOKUP(AE19,[1]Datos!$J$4:$K$28,2,)</f>
        <v>MODERADO</v>
      </c>
      <c r="AG19" s="254" t="s">
        <v>90</v>
      </c>
      <c r="AH19" s="2"/>
      <c r="AI19" s="170" t="s">
        <v>184</v>
      </c>
      <c r="AJ19" s="170" t="s">
        <v>201</v>
      </c>
      <c r="AK19" s="255" t="s">
        <v>202</v>
      </c>
      <c r="AM19" s="241">
        <v>44937</v>
      </c>
      <c r="AN19" s="256" t="s">
        <v>203</v>
      </c>
      <c r="AO19" s="257" t="s">
        <v>204</v>
      </c>
      <c r="AP19" s="258"/>
      <c r="AQ19" s="259" t="s">
        <v>188</v>
      </c>
      <c r="AR19" s="44"/>
      <c r="AS19" s="260" t="s">
        <v>205</v>
      </c>
      <c r="AT19" s="261" t="s">
        <v>206</v>
      </c>
    </row>
    <row r="20" spans="1:46" ht="236.25" customHeight="1" x14ac:dyDescent="0.25">
      <c r="A20" s="164"/>
      <c r="B20" s="165"/>
      <c r="C20" s="166"/>
      <c r="D20" s="166"/>
      <c r="E20" s="166"/>
      <c r="F20" s="167"/>
      <c r="G20" s="165"/>
      <c r="H20" s="168"/>
      <c r="I20" s="169"/>
      <c r="J20" s="121"/>
      <c r="K20" s="152"/>
      <c r="L20" s="168"/>
      <c r="M20" s="169"/>
      <c r="N20" s="154"/>
      <c r="O20" s="119"/>
      <c r="P20" s="2"/>
      <c r="Q20" s="8">
        <v>2</v>
      </c>
      <c r="R20" s="262" t="s">
        <v>207</v>
      </c>
      <c r="S20" s="54" t="str">
        <f t="shared" si="0"/>
        <v>Probabilidad</v>
      </c>
      <c r="T20" s="6" t="s">
        <v>65</v>
      </c>
      <c r="U20" s="6" t="s">
        <v>66</v>
      </c>
      <c r="V20" s="58" t="str">
        <f t="shared" si="1"/>
        <v>30%</v>
      </c>
      <c r="W20" s="10" t="s">
        <v>67</v>
      </c>
      <c r="X20" s="10" t="s">
        <v>199</v>
      </c>
      <c r="Y20" s="10" t="s">
        <v>208</v>
      </c>
      <c r="Z20" s="65">
        <f>IFERROR(IF(AND(S19="Probabilidad",S20="Probabilidad"),(AB19-(+AB19*V20)),IF(S20="Probabilidad",(I19-(+I19*V20)),IF(S20="Impacto",AB19,""))),"")</f>
        <v>0.16799999999999998</v>
      </c>
      <c r="AA20" s="66" t="str">
        <f t="shared" si="2"/>
        <v>Muy Baja</v>
      </c>
      <c r="AB20" s="263">
        <f t="shared" si="3"/>
        <v>0.16799999999999998</v>
      </c>
      <c r="AC20" s="67" t="str">
        <f t="shared" si="4"/>
        <v>Menor</v>
      </c>
      <c r="AD20" s="65">
        <f>IFERROR(IF(AND(S19="Impacto",S19="Impacto"),(AD19-(+AD19*V20)),IF(S20="Impacto",(M19-(+M19*V20)),IF(S20="Probabilidad",AD19,""))),"")</f>
        <v>0.4</v>
      </c>
      <c r="AE20" s="68" t="str">
        <f t="shared" ref="AE20:AE21" si="6">+CONCATENATE(AA20, " - ", AC20)</f>
        <v>Muy Baja - Menor</v>
      </c>
      <c r="AF20" s="78" t="str">
        <f>+VLOOKUP(AE20,[1]Datos!$J$4:$K$28,2,)</f>
        <v>BAJO</v>
      </c>
      <c r="AG20" s="156"/>
      <c r="AH20" s="2"/>
      <c r="AI20" s="170"/>
      <c r="AJ20" s="170"/>
      <c r="AK20" s="170"/>
      <c r="AM20" s="241">
        <v>44937</v>
      </c>
      <c r="AN20" s="264" t="s">
        <v>209</v>
      </c>
      <c r="AO20" s="265"/>
      <c r="AP20" s="266"/>
      <c r="AQ20" s="267"/>
      <c r="AR20" s="44"/>
      <c r="AS20" s="202"/>
      <c r="AT20" s="268"/>
    </row>
    <row r="21" spans="1:46" ht="260.25" customHeight="1" thickBot="1" x14ac:dyDescent="0.3">
      <c r="A21" s="225"/>
      <c r="B21" s="226"/>
      <c r="C21" s="227"/>
      <c r="D21" s="227"/>
      <c r="E21" s="227"/>
      <c r="F21" s="229"/>
      <c r="G21" s="226"/>
      <c r="H21" s="230"/>
      <c r="I21" s="231"/>
      <c r="J21" s="232"/>
      <c r="K21" s="233"/>
      <c r="L21" s="230"/>
      <c r="M21" s="231"/>
      <c r="N21" s="234"/>
      <c r="O21" s="235"/>
      <c r="P21" s="2"/>
      <c r="Q21" s="9">
        <v>3</v>
      </c>
      <c r="R21" s="81" t="s">
        <v>210</v>
      </c>
      <c r="S21" s="55" t="str">
        <f t="shared" si="0"/>
        <v>Impacto</v>
      </c>
      <c r="T21" s="22" t="s">
        <v>80</v>
      </c>
      <c r="U21" s="22" t="s">
        <v>66</v>
      </c>
      <c r="V21" s="59" t="str">
        <f t="shared" si="1"/>
        <v>25%</v>
      </c>
      <c r="W21" s="23" t="s">
        <v>67</v>
      </c>
      <c r="X21" s="22" t="s">
        <v>192</v>
      </c>
      <c r="Y21" s="23" t="s">
        <v>211</v>
      </c>
      <c r="Z21" s="69">
        <f>IFERROR(IF(AND(S20="Probabilidad",S21="Probabilidad"),(AB20-(+AB20*V21)),IF(S21="Probabilidad",(I19-(+I19*V21)),IF(S21="Impacto",AB20,""))),"")</f>
        <v>0.16799999999999998</v>
      </c>
      <c r="AA21" s="70" t="str">
        <f t="shared" si="2"/>
        <v>Muy Baja</v>
      </c>
      <c r="AB21" s="237">
        <f t="shared" si="3"/>
        <v>0.16799999999999998</v>
      </c>
      <c r="AC21" s="71" t="str">
        <f t="shared" si="4"/>
        <v>Menor</v>
      </c>
      <c r="AD21" s="69">
        <f>IFERROR(IF(AND(S20="Impacto",S20="Impacto"),(AD20-(+AD20*V21)),IF(S21="Impacto",(M19-(+M19*V21)),IF(S21="Probabilidad",AD20,""))),"")</f>
        <v>0.30000000000000004</v>
      </c>
      <c r="AE21" s="72" t="str">
        <f t="shared" si="6"/>
        <v>Muy Baja - Menor</v>
      </c>
      <c r="AF21" s="79" t="str">
        <f>+VLOOKUP(AE21,[1]Datos!$J$4:$K$28,2,)</f>
        <v>BAJO</v>
      </c>
      <c r="AG21" s="238"/>
      <c r="AH21" s="2"/>
      <c r="AI21" s="171"/>
      <c r="AJ21" s="171"/>
      <c r="AK21" s="171"/>
      <c r="AM21" s="218">
        <v>44937</v>
      </c>
      <c r="AN21" s="269" t="s">
        <v>212</v>
      </c>
      <c r="AO21" s="270"/>
      <c r="AP21" s="271"/>
      <c r="AQ21" s="272"/>
      <c r="AR21" s="44"/>
      <c r="AS21" s="203"/>
      <c r="AT21" s="273"/>
    </row>
    <row r="22" spans="1:46" x14ac:dyDescent="0.25">
      <c r="P22" s="2"/>
      <c r="AR22" s="44"/>
    </row>
    <row r="23" spans="1:46" x14ac:dyDescent="0.25">
      <c r="P23" s="2"/>
    </row>
    <row r="24" spans="1:46" x14ac:dyDescent="0.25">
      <c r="P24" s="2"/>
    </row>
    <row r="25" spans="1:46" x14ac:dyDescent="0.25">
      <c r="P25" s="2"/>
    </row>
    <row r="26" spans="1:46" x14ac:dyDescent="0.25">
      <c r="P26" s="2"/>
    </row>
    <row r="27" spans="1:46" x14ac:dyDescent="0.25">
      <c r="P27" s="2"/>
    </row>
    <row r="28" spans="1:46" x14ac:dyDescent="0.25">
      <c r="P28" s="2"/>
    </row>
    <row r="29" spans="1:46" x14ac:dyDescent="0.25">
      <c r="P29" s="2"/>
    </row>
    <row r="30" spans="1:46" x14ac:dyDescent="0.25">
      <c r="P30" s="2"/>
    </row>
    <row r="31" spans="1:46" x14ac:dyDescent="0.25">
      <c r="P31" s="2"/>
    </row>
  </sheetData>
  <mergeCells count="72">
    <mergeCell ref="AK19:AK21"/>
    <mergeCell ref="AO19:AO21"/>
    <mergeCell ref="AP19:AP21"/>
    <mergeCell ref="AQ19:AQ21"/>
    <mergeCell ref="AS19:AS21"/>
    <mergeCell ref="AT19:AT21"/>
    <mergeCell ref="M19:M21"/>
    <mergeCell ref="N19:N21"/>
    <mergeCell ref="O19:O21"/>
    <mergeCell ref="AG19:AG21"/>
    <mergeCell ref="AI19:AI21"/>
    <mergeCell ref="AJ19:AJ21"/>
    <mergeCell ref="G19:G21"/>
    <mergeCell ref="H19:H21"/>
    <mergeCell ref="I19:I21"/>
    <mergeCell ref="J19:J21"/>
    <mergeCell ref="K19:K21"/>
    <mergeCell ref="L19:L21"/>
    <mergeCell ref="A19:A21"/>
    <mergeCell ref="B19:B21"/>
    <mergeCell ref="C19:C21"/>
    <mergeCell ref="D19:D21"/>
    <mergeCell ref="E19:E21"/>
    <mergeCell ref="F19:F21"/>
    <mergeCell ref="AK17:AK18"/>
    <mergeCell ref="AO17:AO18"/>
    <mergeCell ref="AP17:AP18"/>
    <mergeCell ref="AQ17:AQ18"/>
    <mergeCell ref="AS17:AS18"/>
    <mergeCell ref="AT17:AT18"/>
    <mergeCell ref="M17:M18"/>
    <mergeCell ref="N17:N18"/>
    <mergeCell ref="O17:O18"/>
    <mergeCell ref="AG17:AG18"/>
    <mergeCell ref="AI17:AI18"/>
    <mergeCell ref="AJ17:AJ18"/>
    <mergeCell ref="G17:G18"/>
    <mergeCell ref="H17:H18"/>
    <mergeCell ref="I17:I18"/>
    <mergeCell ref="J17:J18"/>
    <mergeCell ref="K17:K18"/>
    <mergeCell ref="L17:L18"/>
    <mergeCell ref="A17:A18"/>
    <mergeCell ref="B17:B18"/>
    <mergeCell ref="C17:C18"/>
    <mergeCell ref="D17:D18"/>
    <mergeCell ref="E17:E18"/>
    <mergeCell ref="F17:F18"/>
    <mergeCell ref="A14:O15"/>
    <mergeCell ref="Q14:AG14"/>
    <mergeCell ref="AI14:AK15"/>
    <mergeCell ref="AM14:AQ15"/>
    <mergeCell ref="AS14:AT15"/>
    <mergeCell ref="T15:Y15"/>
    <mergeCell ref="Z15:AG15"/>
    <mergeCell ref="AS7:AT8"/>
    <mergeCell ref="A10:C10"/>
    <mergeCell ref="D10:M10"/>
    <mergeCell ref="A11:C11"/>
    <mergeCell ref="D11:M11"/>
    <mergeCell ref="A12:C12"/>
    <mergeCell ref="D12:M12"/>
    <mergeCell ref="A1:B8"/>
    <mergeCell ref="C1:AP4"/>
    <mergeCell ref="AQ1:AR2"/>
    <mergeCell ref="AS1:AT2"/>
    <mergeCell ref="AQ3:AR4"/>
    <mergeCell ref="AS3:AT4"/>
    <mergeCell ref="C5:AP8"/>
    <mergeCell ref="AQ5:AR6"/>
    <mergeCell ref="AS5:AT6"/>
    <mergeCell ref="AQ7:AR8"/>
  </mergeCells>
  <conditionalFormatting sqref="H17:H18">
    <cfRule type="cellIs" dxfId="111" priority="80" operator="equal">
      <formula>"Muy Alta"</formula>
    </cfRule>
    <cfRule type="cellIs" dxfId="110" priority="81" operator="equal">
      <formula>"Alta"</formula>
    </cfRule>
    <cfRule type="cellIs" dxfId="109" priority="82" operator="equal">
      <formula>"Media"</formula>
    </cfRule>
    <cfRule type="cellIs" dxfId="108" priority="83" operator="equal">
      <formula>"Muy Baja"</formula>
    </cfRule>
    <cfRule type="cellIs" dxfId="107" priority="84" operator="equal">
      <formula>"Baja"</formula>
    </cfRule>
  </conditionalFormatting>
  <conditionalFormatting sqref="L17:L18">
    <cfRule type="cellIs" dxfId="106" priority="75" operator="equal">
      <formula>"Leve"</formula>
    </cfRule>
    <cfRule type="cellIs" dxfId="105" priority="76" operator="equal">
      <formula>"Catastrófico"</formula>
    </cfRule>
    <cfRule type="cellIs" dxfId="104" priority="77" operator="equal">
      <formula>"Mayor"</formula>
    </cfRule>
    <cfRule type="cellIs" dxfId="103" priority="78" operator="equal">
      <formula>"Moderado"</formula>
    </cfRule>
    <cfRule type="cellIs" dxfId="102" priority="79" operator="equal">
      <formula>"Menor"</formula>
    </cfRule>
  </conditionalFormatting>
  <conditionalFormatting sqref="O17:O18">
    <cfRule type="cellIs" dxfId="101" priority="71" operator="equal">
      <formula>"EXTREMO"</formula>
    </cfRule>
    <cfRule type="cellIs" dxfId="100" priority="72" operator="equal">
      <formula>"ALTO"</formula>
    </cfRule>
    <cfRule type="cellIs" dxfId="99" priority="73" operator="equal">
      <formula>"BAJO"</formula>
    </cfRule>
    <cfRule type="cellIs" dxfId="98" priority="74" operator="equal">
      <formula>"MODERADO"</formula>
    </cfRule>
  </conditionalFormatting>
  <conditionalFormatting sqref="AA17">
    <cfRule type="cellIs" dxfId="97" priority="66" operator="equal">
      <formula>"B+$Z$17Muy Baja"</formula>
    </cfRule>
    <cfRule type="cellIs" dxfId="96" priority="67" operator="equal">
      <formula>"Baja"</formula>
    </cfRule>
    <cfRule type="cellIs" dxfId="95" priority="68" operator="equal">
      <formula>"Media"</formula>
    </cfRule>
    <cfRule type="cellIs" dxfId="94" priority="69" operator="equal">
      <formula>"Muy Alta"</formula>
    </cfRule>
    <cfRule type="cellIs" dxfId="93" priority="70" operator="equal">
      <formula>"Alta"</formula>
    </cfRule>
  </conditionalFormatting>
  <conditionalFormatting sqref="AC17">
    <cfRule type="cellIs" dxfId="92" priority="61" operator="equal">
      <formula>"Catastrófico"</formula>
    </cfRule>
    <cfRule type="cellIs" dxfId="91" priority="62" operator="equal">
      <formula>"Mayor"</formula>
    </cfRule>
    <cfRule type="cellIs" dxfId="90" priority="63" operator="equal">
      <formula>"Moderado"</formula>
    </cfRule>
    <cfRule type="cellIs" dxfId="89" priority="64" operator="equal">
      <formula>"Menor"</formula>
    </cfRule>
    <cfRule type="cellIs" dxfId="88" priority="65" operator="equal">
      <formula>"Leve"</formula>
    </cfRule>
  </conditionalFormatting>
  <conditionalFormatting sqref="AF17">
    <cfRule type="cellIs" dxfId="87" priority="57" operator="equal">
      <formula>"EXTREMO"</formula>
    </cfRule>
    <cfRule type="cellIs" dxfId="86" priority="58" operator="equal">
      <formula>"ALTO"</formula>
    </cfRule>
    <cfRule type="cellIs" dxfId="85" priority="59" operator="equal">
      <formula>"BAJO"</formula>
    </cfRule>
    <cfRule type="cellIs" dxfId="84" priority="60" operator="equal">
      <formula>"MODERADO"</formula>
    </cfRule>
  </conditionalFormatting>
  <conditionalFormatting sqref="H19:H21">
    <cfRule type="cellIs" dxfId="83" priority="52" operator="equal">
      <formula>"Muy Alta"</formula>
    </cfRule>
    <cfRule type="cellIs" dxfId="82" priority="53" operator="equal">
      <formula>"Alta"</formula>
    </cfRule>
    <cfRule type="cellIs" dxfId="81" priority="54" operator="equal">
      <formula>"Media"</formula>
    </cfRule>
    <cfRule type="cellIs" dxfId="80" priority="55" operator="equal">
      <formula>"Muy Baja"</formula>
    </cfRule>
    <cfRule type="cellIs" dxfId="79" priority="56" operator="equal">
      <formula>"Baja"</formula>
    </cfRule>
  </conditionalFormatting>
  <conditionalFormatting sqref="L19:L21">
    <cfRule type="cellIs" dxfId="78" priority="47" operator="equal">
      <formula>"Leve"</formula>
    </cfRule>
    <cfRule type="cellIs" dxfId="77" priority="48" operator="equal">
      <formula>"Catastrófico"</formula>
    </cfRule>
    <cfRule type="cellIs" dxfId="76" priority="49" operator="equal">
      <formula>"Mayor"</formula>
    </cfRule>
    <cfRule type="cellIs" dxfId="75" priority="50" operator="equal">
      <formula>"Moderado"</formula>
    </cfRule>
    <cfRule type="cellIs" dxfId="74" priority="51" operator="equal">
      <formula>"Menor"</formula>
    </cfRule>
  </conditionalFormatting>
  <conditionalFormatting sqref="O19:O21">
    <cfRule type="cellIs" dxfId="73" priority="43" operator="equal">
      <formula>"EXTREMO"</formula>
    </cfRule>
    <cfRule type="cellIs" dxfId="72" priority="44" operator="equal">
      <formula>"ALTO"</formula>
    </cfRule>
    <cfRule type="cellIs" dxfId="71" priority="45" operator="equal">
      <formula>"BAJO"</formula>
    </cfRule>
    <cfRule type="cellIs" dxfId="70" priority="46" operator="equal">
      <formula>"MODERADO"</formula>
    </cfRule>
  </conditionalFormatting>
  <conditionalFormatting sqref="AA19:AA20">
    <cfRule type="cellIs" dxfId="69" priority="38" operator="equal">
      <formula>"Muy Baja"</formula>
    </cfRule>
    <cfRule type="cellIs" dxfId="68" priority="39" operator="equal">
      <formula>"Baja"</formula>
    </cfRule>
    <cfRule type="cellIs" dxfId="67" priority="40" operator="equal">
      <formula>"Media"</formula>
    </cfRule>
    <cfRule type="cellIs" dxfId="66" priority="41" operator="equal">
      <formula>"Muy Alta"</formula>
    </cfRule>
    <cfRule type="cellIs" dxfId="65" priority="42" operator="equal">
      <formula>"Alta"</formula>
    </cfRule>
  </conditionalFormatting>
  <conditionalFormatting sqref="AC19:AC20">
    <cfRule type="cellIs" dxfId="64" priority="33" operator="equal">
      <formula>"Catastrófico"</formula>
    </cfRule>
    <cfRule type="cellIs" dxfId="63" priority="34" operator="equal">
      <formula>"Mayor"</formula>
    </cfRule>
    <cfRule type="cellIs" dxfId="62" priority="35" operator="equal">
      <formula>"Moderado"</formula>
    </cfRule>
    <cfRule type="cellIs" dxfId="61" priority="36" operator="equal">
      <formula>"Menor"</formula>
    </cfRule>
    <cfRule type="cellIs" dxfId="60" priority="37" operator="equal">
      <formula>"Leve"</formula>
    </cfRule>
  </conditionalFormatting>
  <conditionalFormatting sqref="AF19:AF20">
    <cfRule type="cellIs" dxfId="59" priority="29" operator="equal">
      <formula>"EXTREMO"</formula>
    </cfRule>
    <cfRule type="cellIs" dxfId="58" priority="30" operator="equal">
      <formula>"ALTO"</formula>
    </cfRule>
    <cfRule type="cellIs" dxfId="57" priority="31" operator="equal">
      <formula>"BAJO"</formula>
    </cfRule>
    <cfRule type="cellIs" dxfId="56" priority="32" operator="equal">
      <formula>"MODERADO"</formula>
    </cfRule>
  </conditionalFormatting>
  <conditionalFormatting sqref="AA21">
    <cfRule type="cellIs" dxfId="55" priority="24" operator="equal">
      <formula>"Muy Baja"</formula>
    </cfRule>
    <cfRule type="cellIs" dxfId="54" priority="25" operator="equal">
      <formula>"Baja"</formula>
    </cfRule>
    <cfRule type="cellIs" dxfId="53" priority="26" operator="equal">
      <formula>"Media"</formula>
    </cfRule>
    <cfRule type="cellIs" dxfId="52" priority="27" operator="equal">
      <formula>"Muy Alta"</formula>
    </cfRule>
    <cfRule type="cellIs" dxfId="51" priority="28" operator="equal">
      <formula>"Alta"</formula>
    </cfRule>
  </conditionalFormatting>
  <conditionalFormatting sqref="AC21">
    <cfRule type="cellIs" dxfId="50" priority="19" operator="equal">
      <formula>"Catastrófico"</formula>
    </cfRule>
    <cfRule type="cellIs" dxfId="49" priority="20" operator="equal">
      <formula>"Mayor"</formula>
    </cfRule>
    <cfRule type="cellIs" dxfId="48" priority="21" operator="equal">
      <formula>"Moderado"</formula>
    </cfRule>
    <cfRule type="cellIs" dxfId="47" priority="22" operator="equal">
      <formula>"Menor"</formula>
    </cfRule>
    <cfRule type="cellIs" dxfId="46" priority="23" operator="equal">
      <formula>"Leve"</formula>
    </cfRule>
  </conditionalFormatting>
  <conditionalFormatting sqref="AF21">
    <cfRule type="cellIs" dxfId="45" priority="15" operator="equal">
      <formula>"EXTREMO"</formula>
    </cfRule>
    <cfRule type="cellIs" dxfId="44" priority="16" operator="equal">
      <formula>"ALTO"</formula>
    </cfRule>
    <cfRule type="cellIs" dxfId="43" priority="17" operator="equal">
      <formula>"BAJO"</formula>
    </cfRule>
    <cfRule type="cellIs" dxfId="42" priority="18" operator="equal">
      <formula>"MODERADO"</formula>
    </cfRule>
  </conditionalFormatting>
  <conditionalFormatting sqref="AA18">
    <cfRule type="cellIs" dxfId="41" priority="10" operator="equal">
      <formula>"B+$Z$17Muy Baja"</formula>
    </cfRule>
    <cfRule type="cellIs" dxfId="40" priority="11" operator="equal">
      <formula>"Baja"</formula>
    </cfRule>
    <cfRule type="cellIs" dxfId="39" priority="12" operator="equal">
      <formula>"Media"</formula>
    </cfRule>
    <cfRule type="cellIs" dxfId="38" priority="13" operator="equal">
      <formula>"Muy Alta"</formula>
    </cfRule>
    <cfRule type="cellIs" dxfId="37" priority="14" operator="equal">
      <formula>"Alta"</formula>
    </cfRule>
  </conditionalFormatting>
  <conditionalFormatting sqref="AC18">
    <cfRule type="cellIs" dxfId="36" priority="5" operator="equal">
      <formula>"Catastrófico"</formula>
    </cfRule>
    <cfRule type="cellIs" dxfId="35" priority="6" operator="equal">
      <formula>"Mayor"</formula>
    </cfRule>
    <cfRule type="cellIs" dxfId="34" priority="7" operator="equal">
      <formula>"Moderado"</formula>
    </cfRule>
    <cfRule type="cellIs" dxfId="33" priority="8" operator="equal">
      <formula>"Menor"</formula>
    </cfRule>
    <cfRule type="cellIs" dxfId="32" priority="9" operator="equal">
      <formula>"Leve"</formula>
    </cfRule>
  </conditionalFormatting>
  <conditionalFormatting sqref="AF18">
    <cfRule type="cellIs" dxfId="31" priority="1" operator="equal">
      <formula>"EXTREMO"</formula>
    </cfRule>
    <cfRule type="cellIs" dxfId="30" priority="2" operator="equal">
      <formula>"ALTO"</formula>
    </cfRule>
    <cfRule type="cellIs" dxfId="29" priority="3" operator="equal">
      <formula>"BAJO"</formula>
    </cfRule>
    <cfRule type="cellIs" dxfId="28" priority="4"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'C:\Users\caguerra\Downloads\Diciembre 2022\[Mapa de Riesgos de Restión 2022 IIT- Evaluación a la Gestión.xlsx]Datos'!#REF!</xm:f>
          </x14:formula1>
          <xm:sqref>U17:U21</xm:sqref>
        </x14:dataValidation>
        <x14:dataValidation type="list" allowBlank="1" showInputMessage="1" showErrorMessage="1">
          <x14:formula1>
            <xm:f>'C:\Users\caguerra\Downloads\Diciembre 2022\[Mapa de Riesgos de Restión 2022 IIT- Evaluación a la Gestión.xlsx]Datos'!#REF!</xm:f>
          </x14:formula1>
          <xm:sqref>T17:T21</xm:sqref>
        </x14:dataValidation>
        <x14:dataValidation type="list" allowBlank="1" showInputMessage="1" showErrorMessage="1">
          <x14:formula1>
            <xm:f>'C:\Users\caguerra\Downloads\Diciembre 2022\[Mapa de Riesgos de Restión 2022 IIT- Evaluación a la Gestión.xlsx]Datos'!#REF!</xm:f>
          </x14:formula1>
          <xm:sqref>J17:J21</xm:sqref>
        </x14:dataValidation>
        <x14:dataValidation type="list" allowBlank="1" showInputMessage="1" showErrorMessage="1">
          <x14:formula1>
            <xm:f>'C:\Users\caguerra\Downloads\Diciembre 2022\[Mapa de Riesgos de Restión 2022 IIT- Evaluación a la Gestión.xlsx]Datos'!#REF!</xm:f>
          </x14:formula1>
          <xm:sqref>B17:B21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9"/>
  <sheetViews>
    <sheetView showGridLines="0" tabSelected="1" topLeftCell="D1" zoomScale="70" zoomScaleNormal="70" zoomScaleSheetLayoutView="90" workbookViewId="0">
      <selection activeCell="M17" sqref="M17:M19"/>
    </sheetView>
  </sheetViews>
  <sheetFormatPr baseColWidth="10" defaultColWidth="11.42578125" defaultRowHeight="15.75" x14ac:dyDescent="0.25"/>
  <cols>
    <col min="2" max="2" width="27.140625" customWidth="1"/>
    <col min="3" max="3" width="26" customWidth="1"/>
    <col min="4" max="4" width="19.140625" customWidth="1"/>
    <col min="5" max="6" width="25.42578125"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customWidth="1"/>
    <col min="20" max="22" width="5.140625" style="1" customWidth="1"/>
    <col min="23" max="24" width="11.42578125" style="1" customWidth="1"/>
    <col min="25" max="28" width="7.2851562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5" width="45" customWidth="1"/>
    <col min="46" max="46" width="71.7109375" customWidth="1"/>
  </cols>
  <sheetData>
    <row r="1" spans="1:46" ht="15.75" customHeight="1" x14ac:dyDescent="0.25">
      <c r="A1" s="124"/>
      <c r="B1" s="274"/>
      <c r="C1" s="275" t="s">
        <v>213</v>
      </c>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7"/>
      <c r="AQ1" s="274" t="s">
        <v>1</v>
      </c>
      <c r="AR1" s="125"/>
      <c r="AS1" s="196" t="s">
        <v>2</v>
      </c>
      <c r="AT1" s="192"/>
    </row>
    <row r="2" spans="1:46" ht="15.75" customHeight="1" thickBot="1" x14ac:dyDescent="0.3">
      <c r="A2" s="126"/>
      <c r="B2" s="278"/>
      <c r="C2" s="279"/>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280"/>
      <c r="AQ2" s="281"/>
      <c r="AR2" s="129"/>
      <c r="AS2" s="193"/>
      <c r="AT2" s="194"/>
    </row>
    <row r="3" spans="1:46" ht="15.75" customHeight="1" x14ac:dyDescent="0.25">
      <c r="A3" s="126"/>
      <c r="B3" s="278"/>
      <c r="C3" s="279"/>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280"/>
      <c r="AQ3" s="274" t="s">
        <v>3</v>
      </c>
      <c r="AR3" s="125"/>
      <c r="AS3" s="197" t="s">
        <v>4</v>
      </c>
      <c r="AT3" s="198"/>
    </row>
    <row r="4" spans="1:46" ht="16.5" customHeight="1" thickBot="1" x14ac:dyDescent="0.3">
      <c r="A4" s="126"/>
      <c r="B4" s="278"/>
      <c r="C4" s="279"/>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280"/>
      <c r="AQ4" s="281"/>
      <c r="AR4" s="129"/>
      <c r="AS4" s="199"/>
      <c r="AT4" s="200"/>
    </row>
    <row r="5" spans="1:46" ht="20.45" customHeight="1" x14ac:dyDescent="0.25">
      <c r="A5" s="126"/>
      <c r="B5" s="278"/>
      <c r="C5" s="275" t="s">
        <v>5</v>
      </c>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7"/>
      <c r="AQ5" s="274" t="s">
        <v>6</v>
      </c>
      <c r="AR5" s="125"/>
      <c r="AS5" s="124" t="s">
        <v>7</v>
      </c>
      <c r="AT5" s="125"/>
    </row>
    <row r="6" spans="1:46" ht="15" customHeight="1" thickBot="1" x14ac:dyDescent="0.3">
      <c r="A6" s="126"/>
      <c r="B6" s="278"/>
      <c r="C6" s="279"/>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280"/>
      <c r="AQ6" s="281"/>
      <c r="AR6" s="129"/>
      <c r="AS6" s="128"/>
      <c r="AT6" s="129"/>
    </row>
    <row r="7" spans="1:46" ht="15.75" customHeight="1" x14ac:dyDescent="0.25">
      <c r="A7" s="126"/>
      <c r="B7" s="278"/>
      <c r="C7" s="279"/>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280"/>
      <c r="AQ7" s="274" t="s">
        <v>8</v>
      </c>
      <c r="AR7" s="125"/>
      <c r="AS7" s="191">
        <v>44651</v>
      </c>
      <c r="AT7" s="192"/>
    </row>
    <row r="8" spans="1:46" ht="16.5" customHeight="1" thickBot="1" x14ac:dyDescent="0.3">
      <c r="A8" s="128"/>
      <c r="B8" s="281"/>
      <c r="C8" s="282"/>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4"/>
      <c r="AQ8" s="281"/>
      <c r="AR8" s="129"/>
      <c r="AS8" s="193"/>
      <c r="AT8" s="194"/>
    </row>
    <row r="10" spans="1:46" ht="54" customHeight="1" x14ac:dyDescent="0.25">
      <c r="A10" s="157" t="s">
        <v>9</v>
      </c>
      <c r="B10" s="157"/>
      <c r="C10" s="285"/>
      <c r="D10" s="286" t="s">
        <v>213</v>
      </c>
      <c r="E10" s="286"/>
      <c r="F10" s="286"/>
      <c r="G10" s="286"/>
      <c r="H10" s="286"/>
      <c r="I10" s="286"/>
      <c r="J10" s="286"/>
      <c r="K10" s="286"/>
      <c r="L10" s="286"/>
      <c r="M10" s="286"/>
      <c r="N10" s="286"/>
      <c r="O10" s="286"/>
      <c r="P10" s="286"/>
      <c r="Q10" s="286"/>
      <c r="R10" s="286"/>
      <c r="S10" s="286"/>
      <c r="T10" s="286"/>
      <c r="U10" s="286"/>
      <c r="V10" s="286"/>
      <c r="W10" s="286"/>
      <c r="X10" s="286"/>
      <c r="AG10" s="1"/>
      <c r="AH10" s="1"/>
      <c r="AI10" s="1"/>
    </row>
    <row r="11" spans="1:46" s="3" customFormat="1" ht="75" customHeight="1" x14ac:dyDescent="0.25">
      <c r="A11" s="157" t="s">
        <v>11</v>
      </c>
      <c r="B11" s="157"/>
      <c r="C11" s="285"/>
      <c r="D11" s="287" t="s">
        <v>214</v>
      </c>
      <c r="E11" s="287"/>
      <c r="F11" s="287"/>
      <c r="G11" s="287"/>
      <c r="H11" s="287"/>
      <c r="I11" s="287"/>
      <c r="J11" s="287"/>
      <c r="K11" s="287"/>
      <c r="L11" s="287"/>
      <c r="M11" s="287"/>
      <c r="N11" s="287"/>
      <c r="O11" s="287"/>
      <c r="P11" s="287"/>
      <c r="Q11" s="287"/>
      <c r="R11" s="287"/>
      <c r="S11" s="287"/>
      <c r="T11" s="287"/>
      <c r="U11" s="287"/>
      <c r="V11" s="287"/>
      <c r="W11" s="287"/>
      <c r="X11" s="287"/>
      <c r="Y11" s="2"/>
      <c r="Z11" s="2"/>
      <c r="AA11" s="2"/>
      <c r="AB11" s="2"/>
      <c r="AC11" s="2"/>
      <c r="AD11" s="2"/>
      <c r="AE11" s="2"/>
      <c r="AF11" s="2"/>
      <c r="AG11" s="2"/>
      <c r="AH11" s="2"/>
      <c r="AI11" s="2"/>
      <c r="AJ11" s="2"/>
      <c r="AK11" s="2"/>
    </row>
    <row r="12" spans="1:46" s="3" customFormat="1" ht="75" customHeight="1" x14ac:dyDescent="0.25">
      <c r="A12" s="157" t="s">
        <v>13</v>
      </c>
      <c r="B12" s="157"/>
      <c r="C12" s="285"/>
      <c r="D12" s="287" t="s">
        <v>215</v>
      </c>
      <c r="E12" s="287"/>
      <c r="F12" s="287"/>
      <c r="G12" s="287"/>
      <c r="H12" s="287"/>
      <c r="I12" s="287"/>
      <c r="J12" s="287"/>
      <c r="K12" s="287"/>
      <c r="L12" s="287"/>
      <c r="M12" s="287"/>
      <c r="N12" s="287"/>
      <c r="O12" s="287"/>
      <c r="P12" s="287"/>
      <c r="Q12" s="287"/>
      <c r="R12" s="287"/>
      <c r="S12" s="287"/>
      <c r="T12" s="287"/>
      <c r="U12" s="287"/>
      <c r="V12" s="287"/>
      <c r="W12" s="287"/>
      <c r="X12" s="287"/>
      <c r="Y12" s="2"/>
      <c r="Z12" s="2"/>
      <c r="AA12" s="2"/>
      <c r="AB12" s="2"/>
      <c r="AC12" s="2"/>
      <c r="AD12" s="2"/>
      <c r="AE12" s="2"/>
      <c r="AF12" s="2"/>
      <c r="AG12" s="2"/>
      <c r="AH12" s="2"/>
      <c r="AI12" s="2"/>
      <c r="AJ12" s="2"/>
      <c r="AK12" s="2"/>
    </row>
    <row r="13" spans="1:46"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x14ac:dyDescent="0.25">
      <c r="A14" s="93" t="s">
        <v>15</v>
      </c>
      <c r="B14" s="94"/>
      <c r="C14" s="94"/>
      <c r="D14" s="94"/>
      <c r="E14" s="94"/>
      <c r="F14" s="94"/>
      <c r="G14" s="94"/>
      <c r="H14" s="94"/>
      <c r="I14" s="94"/>
      <c r="J14" s="94"/>
      <c r="K14" s="94"/>
      <c r="L14" s="94"/>
      <c r="M14" s="94"/>
      <c r="N14" s="95"/>
      <c r="O14" s="96"/>
      <c r="P14" s="2"/>
      <c r="Q14" s="101" t="s">
        <v>16</v>
      </c>
      <c r="R14" s="102"/>
      <c r="S14" s="102"/>
      <c r="T14" s="103"/>
      <c r="U14" s="103"/>
      <c r="V14" s="103"/>
      <c r="W14" s="103"/>
      <c r="X14" s="103"/>
      <c r="Y14" s="103"/>
      <c r="Z14" s="102"/>
      <c r="AA14" s="102"/>
      <c r="AB14" s="102"/>
      <c r="AC14" s="102"/>
      <c r="AD14" s="102"/>
      <c r="AE14" s="102"/>
      <c r="AF14" s="102"/>
      <c r="AG14" s="104"/>
      <c r="AH14" s="2"/>
      <c r="AI14" s="139" t="s">
        <v>17</v>
      </c>
      <c r="AJ14" s="140"/>
      <c r="AK14" s="141"/>
      <c r="AM14" s="139" t="s">
        <v>18</v>
      </c>
      <c r="AN14" s="140"/>
      <c r="AO14" s="140"/>
      <c r="AP14" s="140"/>
      <c r="AQ14" s="140"/>
      <c r="AR14" s="44"/>
      <c r="AS14" s="139" t="s">
        <v>19</v>
      </c>
      <c r="AT14" s="141"/>
    </row>
    <row r="15" spans="1:46" x14ac:dyDescent="0.25">
      <c r="A15" s="97"/>
      <c r="B15" s="98"/>
      <c r="C15" s="98"/>
      <c r="D15" s="98"/>
      <c r="E15" s="98"/>
      <c r="F15" s="98"/>
      <c r="G15" s="98"/>
      <c r="H15" s="98"/>
      <c r="I15" s="98"/>
      <c r="J15" s="98"/>
      <c r="K15" s="98"/>
      <c r="L15" s="98"/>
      <c r="M15" s="98"/>
      <c r="N15" s="99"/>
      <c r="O15" s="100"/>
      <c r="P15" s="2"/>
      <c r="Q15" s="31"/>
      <c r="R15" s="32"/>
      <c r="S15" s="32"/>
      <c r="T15" s="107" t="s">
        <v>20</v>
      </c>
      <c r="U15" s="107"/>
      <c r="V15" s="107"/>
      <c r="W15" s="107"/>
      <c r="X15" s="107"/>
      <c r="Y15" s="107"/>
      <c r="Z15" s="105"/>
      <c r="AA15" s="105"/>
      <c r="AB15" s="105"/>
      <c r="AC15" s="105"/>
      <c r="AD15" s="105"/>
      <c r="AE15" s="105"/>
      <c r="AF15" s="105"/>
      <c r="AG15" s="106"/>
      <c r="AH15" s="2"/>
      <c r="AI15" s="142"/>
      <c r="AJ15" s="143"/>
      <c r="AK15" s="144"/>
      <c r="AM15" s="142"/>
      <c r="AN15" s="143"/>
      <c r="AO15" s="143"/>
      <c r="AP15" s="143"/>
      <c r="AQ15" s="143"/>
      <c r="AR15" s="44"/>
      <c r="AS15" s="142"/>
      <c r="AT15" s="144"/>
    </row>
    <row r="16" spans="1:46" s="5" customFormat="1" ht="106.5" customHeight="1" thickBot="1" x14ac:dyDescent="0.3">
      <c r="A16" s="11" t="s">
        <v>21</v>
      </c>
      <c r="B16" s="12" t="s">
        <v>22</v>
      </c>
      <c r="C16" s="13" t="s">
        <v>23</v>
      </c>
      <c r="D16" s="13" t="s">
        <v>173</v>
      </c>
      <c r="E16" s="14" t="s">
        <v>25</v>
      </c>
      <c r="F16" s="84" t="s">
        <v>26</v>
      </c>
      <c r="G16" s="48" t="s">
        <v>27</v>
      </c>
      <c r="H16" s="14" t="s">
        <v>28</v>
      </c>
      <c r="I16" s="13" t="s">
        <v>29</v>
      </c>
      <c r="J16" s="13" t="s">
        <v>30</v>
      </c>
      <c r="K16" s="14" t="s">
        <v>31</v>
      </c>
      <c r="L16" s="14" t="s">
        <v>32</v>
      </c>
      <c r="M16" s="13" t="s">
        <v>29</v>
      </c>
      <c r="N16" s="13" t="s">
        <v>33</v>
      </c>
      <c r="O16" s="15" t="s">
        <v>34</v>
      </c>
      <c r="P16" s="2"/>
      <c r="Q16" s="16" t="s">
        <v>35</v>
      </c>
      <c r="R16" s="17" t="s">
        <v>36</v>
      </c>
      <c r="S16" s="35" t="s">
        <v>37</v>
      </c>
      <c r="T16" s="18" t="s">
        <v>38</v>
      </c>
      <c r="U16" s="18" t="s">
        <v>39</v>
      </c>
      <c r="V16" s="18" t="s">
        <v>40</v>
      </c>
      <c r="W16" s="18" t="s">
        <v>41</v>
      </c>
      <c r="X16" s="18" t="s">
        <v>42</v>
      </c>
      <c r="Y16" s="18" t="s">
        <v>43</v>
      </c>
      <c r="Z16" s="19" t="s">
        <v>44</v>
      </c>
      <c r="AA16" s="19" t="s">
        <v>45</v>
      </c>
      <c r="AB16" s="19" t="s">
        <v>29</v>
      </c>
      <c r="AC16" s="19" t="s">
        <v>46</v>
      </c>
      <c r="AD16" s="19" t="s">
        <v>29</v>
      </c>
      <c r="AE16" s="19" t="s">
        <v>33</v>
      </c>
      <c r="AF16" s="19" t="s">
        <v>47</v>
      </c>
      <c r="AG16" s="15" t="s">
        <v>48</v>
      </c>
      <c r="AH16" s="2"/>
      <c r="AI16" s="20" t="s">
        <v>49</v>
      </c>
      <c r="AJ16" s="17" t="s">
        <v>50</v>
      </c>
      <c r="AK16" s="43" t="s">
        <v>51</v>
      </c>
      <c r="AM16" s="46" t="s">
        <v>52</v>
      </c>
      <c r="AN16" s="46" t="s">
        <v>53</v>
      </c>
      <c r="AO16" s="46" t="s">
        <v>54</v>
      </c>
      <c r="AP16" s="46" t="s">
        <v>55</v>
      </c>
      <c r="AQ16" s="46" t="s">
        <v>56</v>
      </c>
      <c r="AR16" s="45"/>
      <c r="AS16" s="46" t="s">
        <v>57</v>
      </c>
      <c r="AT16" s="47" t="s">
        <v>58</v>
      </c>
    </row>
    <row r="17" spans="1:46" ht="120.75" customHeight="1" x14ac:dyDescent="0.25">
      <c r="A17" s="122">
        <v>1</v>
      </c>
      <c r="B17" s="114" t="s">
        <v>59</v>
      </c>
      <c r="C17" s="112" t="s">
        <v>216</v>
      </c>
      <c r="D17" s="112" t="s">
        <v>217</v>
      </c>
      <c r="E17" s="112" t="s">
        <v>218</v>
      </c>
      <c r="F17" s="110"/>
      <c r="G17" s="114">
        <v>148</v>
      </c>
      <c r="H17" s="116" t="str">
        <f>IF(G17&lt;=0,"",IF(G17&lt;=2,"Muy Baja",IF(G17&lt;=24,"Baja",IF(G17&lt;=500,"Media",IF(G17&lt;=5000,"Alta","Muy Alta")))))</f>
        <v>Media</v>
      </c>
      <c r="I17" s="108">
        <f>IF(H17="","",IF(H17="Muy Baja",0.2,IF(H17="Baja",0.4,IF(H17="Media",0.6,IF(H17="Alta",0.8,IF(H17="Muy Alta",1,))))))</f>
        <v>0.6</v>
      </c>
      <c r="J17" s="120" t="s">
        <v>86</v>
      </c>
      <c r="K17" s="151" t="str">
        <f>+J17</f>
        <v>El riesgo afecta la imagen de la entidad con algunos usuarios de relevancia frente al logro de los objetivos.</v>
      </c>
      <c r="L17" s="116" t="str">
        <f>+VLOOKUP(K17,[2]Datos!$O$4:$P$15,2,FALSE)</f>
        <v>Moderado</v>
      </c>
      <c r="M17" s="108">
        <f>IF(L17="","",IF(L17="Leve",0.2,IF(L17="Menor",0.4,IF(L17="Moderado",0.6,IF(L17="Mayor",0.8,IF(L17="Catastrófico",1,))))))</f>
        <v>0.6</v>
      </c>
      <c r="N17" s="153" t="str">
        <f>+CONCATENATE(H17, " - ", L17)</f>
        <v>Media - Moderado</v>
      </c>
      <c r="O17" s="118" t="str">
        <f>+VLOOKUP(N17,[2]Datos!J4:K28,2,)</f>
        <v>MODERADO</v>
      </c>
      <c r="P17" s="40"/>
      <c r="Q17" s="288">
        <v>1</v>
      </c>
      <c r="R17" s="289" t="s">
        <v>219</v>
      </c>
      <c r="S17" s="290" t="str">
        <f t="shared" ref="S17:S19" si="0">IF(OR(T17="Preventivo",T17="Detectivo"),"Probabilidad",IF(T17="Correctivo","Impacto",""))</f>
        <v>Probabilidad</v>
      </c>
      <c r="T17" s="291" t="s">
        <v>65</v>
      </c>
      <c r="U17" s="291" t="s">
        <v>66</v>
      </c>
      <c r="V17" s="292" t="str">
        <f t="shared" ref="V17:V19" si="1">IF(AND(T17="Preventivo",U17="Automático"),"50%",IF(AND(T17="Preventivo",U17="Manual"),"40%",IF(AND(T17="Detectivo",U17="Automático"),"40%",IF(AND(T17="Detectivo",U17="Manual"),"30%",IF(AND(T17="Correctivo",U17="Automático"),"35%",IF(AND(T17="Correctivo",U17="Manual"),"25%",""))))))</f>
        <v>30%</v>
      </c>
      <c r="W17" s="293" t="s">
        <v>67</v>
      </c>
      <c r="X17" s="293" t="s">
        <v>220</v>
      </c>
      <c r="Y17" s="293" t="s">
        <v>221</v>
      </c>
      <c r="Z17" s="294">
        <f>IFERROR(IF(S17="Probabilidad",(I17-(+I17*V17)),IF(S17="Impacto",I17,"")),"")</f>
        <v>0.42</v>
      </c>
      <c r="AA17" s="295" t="str">
        <f t="shared" ref="AA17:AA19" si="2">IFERROR(IF(Z17="","",IF(Z17&lt;=0.2,"Muy Baja",IF(Z17&lt;=0.4,"Baja",IF(Z17&lt;=0.6,"Media",IF(Z17&lt;=0.8,"Alta","Muy Alta"))))),"")</f>
        <v>Media</v>
      </c>
      <c r="AB17" s="294">
        <f t="shared" ref="AB17:AB19" si="3">+Z17</f>
        <v>0.42</v>
      </c>
      <c r="AC17" s="296" t="str">
        <f t="shared" ref="AC17:AC19" si="4">IFERROR(IF(AD17="","",IF(AD17&lt;=0.2,"Leve",IF(AD17&lt;=0.4,"Menor",IF(AD17&lt;=0.6,"Moderado",IF(AD17&lt;=0.8,"Mayor","Catastrófico"))))),"")</f>
        <v>Moderado</v>
      </c>
      <c r="AD17" s="294">
        <f>IFERROR(IF(S17="Impacto",(M17-(+M17*V17)),IF(S17="Probabilidad",M17,"")),"")</f>
        <v>0.6</v>
      </c>
      <c r="AE17" s="297" t="str">
        <f>+CONCATENATE(AA17, " - ", AC17)</f>
        <v>Media - Moderado</v>
      </c>
      <c r="AF17" s="295" t="str">
        <f>+VLOOKUP(AE17,[2]Datos!$J$4:$K$28,2,)</f>
        <v>MODERADO</v>
      </c>
      <c r="AG17" s="298"/>
      <c r="AH17" s="40"/>
      <c r="AI17" s="299" t="s">
        <v>222</v>
      </c>
      <c r="AJ17" s="300" t="s">
        <v>223</v>
      </c>
      <c r="AK17" s="301">
        <v>44803</v>
      </c>
      <c r="AM17" s="302">
        <v>44921</v>
      </c>
      <c r="AN17" s="303" t="s">
        <v>224</v>
      </c>
      <c r="AO17" s="304" t="s">
        <v>225</v>
      </c>
      <c r="AP17" s="305" t="s">
        <v>226</v>
      </c>
      <c r="AQ17" s="306"/>
      <c r="AR17" s="307"/>
      <c r="AS17" s="308" t="s">
        <v>227</v>
      </c>
      <c r="AT17" s="309" t="s">
        <v>228</v>
      </c>
    </row>
    <row r="18" spans="1:46" ht="153" customHeight="1" x14ac:dyDescent="0.25">
      <c r="A18" s="247"/>
      <c r="B18" s="248"/>
      <c r="C18" s="249"/>
      <c r="D18" s="249"/>
      <c r="E18" s="249"/>
      <c r="F18" s="250"/>
      <c r="G18" s="248"/>
      <c r="H18" s="251"/>
      <c r="I18" s="252"/>
      <c r="J18" s="121"/>
      <c r="K18" s="152"/>
      <c r="L18" s="251"/>
      <c r="M18" s="252"/>
      <c r="N18" s="154"/>
      <c r="O18" s="119"/>
      <c r="P18" s="2"/>
      <c r="Q18" s="310"/>
      <c r="R18" s="148"/>
      <c r="S18" s="311"/>
      <c r="T18" s="312"/>
      <c r="U18" s="312"/>
      <c r="V18" s="313"/>
      <c r="W18" s="312"/>
      <c r="X18" s="312"/>
      <c r="Y18" s="312"/>
      <c r="Z18" s="314"/>
      <c r="AA18" s="315"/>
      <c r="AB18" s="314"/>
      <c r="AC18" s="316"/>
      <c r="AD18" s="314"/>
      <c r="AE18" s="317"/>
      <c r="AF18" s="315"/>
      <c r="AG18" s="318"/>
      <c r="AH18" s="2"/>
      <c r="AI18" s="299" t="s">
        <v>229</v>
      </c>
      <c r="AJ18" s="300" t="s">
        <v>223</v>
      </c>
      <c r="AK18" s="301">
        <v>44803</v>
      </c>
      <c r="AM18" s="319"/>
      <c r="AN18" s="320"/>
      <c r="AO18" s="321"/>
      <c r="AP18" s="202"/>
      <c r="AQ18" s="322"/>
      <c r="AR18" s="45"/>
      <c r="AS18" s="323"/>
      <c r="AT18" s="324"/>
    </row>
    <row r="19" spans="1:46" ht="231.75" customHeight="1" thickBot="1" x14ac:dyDescent="0.3">
      <c r="A19" s="164"/>
      <c r="B19" s="165"/>
      <c r="C19" s="166"/>
      <c r="D19" s="166"/>
      <c r="E19" s="166"/>
      <c r="F19" s="167"/>
      <c r="G19" s="165"/>
      <c r="H19" s="168"/>
      <c r="I19" s="169"/>
      <c r="J19" s="177"/>
      <c r="K19" s="183"/>
      <c r="L19" s="168"/>
      <c r="M19" s="169"/>
      <c r="N19" s="252"/>
      <c r="O19" s="325"/>
      <c r="P19" s="326"/>
      <c r="Q19" s="8">
        <v>2</v>
      </c>
      <c r="R19" s="33" t="s">
        <v>230</v>
      </c>
      <c r="S19" s="54" t="str">
        <f t="shared" si="0"/>
        <v>Probabilidad</v>
      </c>
      <c r="T19" s="6" t="s">
        <v>88</v>
      </c>
      <c r="U19" s="6" t="s">
        <v>66</v>
      </c>
      <c r="V19" s="58" t="str">
        <f t="shared" si="1"/>
        <v>40%</v>
      </c>
      <c r="W19" s="10" t="s">
        <v>67</v>
      </c>
      <c r="X19" s="6" t="s">
        <v>220</v>
      </c>
      <c r="Y19" s="10" t="s">
        <v>231</v>
      </c>
      <c r="Z19" s="65">
        <f>IFERROR(IF(AND(S17="Probabilidad",S19="Probabilidad"),(AB17-(+AB17*V19)),IF(S19="Probabilidad",(I17-(+I17*V19)),IF(S19="Impacto",AB17,""))),"")</f>
        <v>0.252</v>
      </c>
      <c r="AA19" s="66" t="str">
        <f t="shared" si="2"/>
        <v>Baja</v>
      </c>
      <c r="AB19" s="65">
        <f t="shared" si="3"/>
        <v>0.252</v>
      </c>
      <c r="AC19" s="67" t="str">
        <f t="shared" si="4"/>
        <v>Moderado</v>
      </c>
      <c r="AD19" s="65">
        <f>IFERROR(IF(AND(S17="Impacto",S17="Impacto"),(AD17-(+AD17*V19)),IF(S19="Impacto",(M17-(+M17*V19)),IF(S19="Probabilidad",AD17,""))),"")</f>
        <v>0.6</v>
      </c>
      <c r="AE19" s="68" t="str">
        <f t="shared" ref="AE19" si="5">+CONCATENATE(AA19, " - ", AC19)</f>
        <v>Baja - Moderado</v>
      </c>
      <c r="AF19" s="78" t="str">
        <f>+VLOOKUP(AE19,[2]Datos!$J$4:$K$28,2,)</f>
        <v>MODERADO</v>
      </c>
      <c r="AG19" s="327"/>
      <c r="AH19" s="326"/>
      <c r="AI19" s="299" t="s">
        <v>232</v>
      </c>
      <c r="AJ19" s="300" t="s">
        <v>223</v>
      </c>
      <c r="AK19" s="301">
        <v>44925</v>
      </c>
      <c r="AL19" s="328"/>
      <c r="AM19" s="329"/>
      <c r="AN19" s="330"/>
      <c r="AO19" s="331"/>
      <c r="AP19" s="332"/>
      <c r="AQ19" s="333"/>
      <c r="AR19" s="334"/>
      <c r="AS19" s="335"/>
      <c r="AT19" s="336" t="s">
        <v>233</v>
      </c>
    </row>
    <row r="20" spans="1:46" x14ac:dyDescent="0.25">
      <c r="P20" s="2"/>
      <c r="AR20" s="44"/>
      <c r="AT20" s="337"/>
    </row>
    <row r="21" spans="1:46" x14ac:dyDescent="0.25">
      <c r="P21" s="2"/>
    </row>
    <row r="22" spans="1:46" x14ac:dyDescent="0.25">
      <c r="P22" s="2"/>
    </row>
    <row r="23" spans="1:46" x14ac:dyDescent="0.25">
      <c r="P23" s="2"/>
    </row>
    <row r="24" spans="1:46" x14ac:dyDescent="0.25">
      <c r="P24" s="2"/>
    </row>
    <row r="25" spans="1:46" x14ac:dyDescent="0.25">
      <c r="P25" s="2"/>
    </row>
    <row r="26" spans="1:46" x14ac:dyDescent="0.25">
      <c r="P26" s="2"/>
    </row>
    <row r="27" spans="1:46" x14ac:dyDescent="0.25">
      <c r="P27" s="2"/>
    </row>
    <row r="28" spans="1:46" x14ac:dyDescent="0.25">
      <c r="P28" s="2"/>
    </row>
    <row r="29" spans="1:46" x14ac:dyDescent="0.25">
      <c r="P29" s="2"/>
    </row>
  </sheetData>
  <mergeCells count="63">
    <mergeCell ref="AQ17:AQ19"/>
    <mergeCell ref="AS17:AS19"/>
    <mergeCell ref="AT17:AT18"/>
    <mergeCell ref="AF17:AF18"/>
    <mergeCell ref="AG17:AG19"/>
    <mergeCell ref="AM17:AM19"/>
    <mergeCell ref="AN17:AN19"/>
    <mergeCell ref="AO17:AO19"/>
    <mergeCell ref="AP17:AP19"/>
    <mergeCell ref="Z17:Z18"/>
    <mergeCell ref="AA17:AA18"/>
    <mergeCell ref="AB17:AB18"/>
    <mergeCell ref="AC17:AC18"/>
    <mergeCell ref="AD17:AD18"/>
    <mergeCell ref="AE17:AE18"/>
    <mergeCell ref="T17:T18"/>
    <mergeCell ref="U17:U18"/>
    <mergeCell ref="V17:V18"/>
    <mergeCell ref="W17:W18"/>
    <mergeCell ref="X17:X18"/>
    <mergeCell ref="Y17:Y18"/>
    <mergeCell ref="M17:M19"/>
    <mergeCell ref="N17:N19"/>
    <mergeCell ref="O17:O19"/>
    <mergeCell ref="Q17:Q18"/>
    <mergeCell ref="R17:R18"/>
    <mergeCell ref="S17:S18"/>
    <mergeCell ref="G17:G19"/>
    <mergeCell ref="H17:H19"/>
    <mergeCell ref="I17:I19"/>
    <mergeCell ref="J17:J19"/>
    <mergeCell ref="K17:K19"/>
    <mergeCell ref="L17:L19"/>
    <mergeCell ref="A17:A19"/>
    <mergeCell ref="B17:B19"/>
    <mergeCell ref="C17:C19"/>
    <mergeCell ref="D17:D19"/>
    <mergeCell ref="E17:E19"/>
    <mergeCell ref="F17:F19"/>
    <mergeCell ref="A14:O15"/>
    <mergeCell ref="Q14:AG14"/>
    <mergeCell ref="AI14:AK15"/>
    <mergeCell ref="AM14:AQ15"/>
    <mergeCell ref="AS14:AT15"/>
    <mergeCell ref="T15:Y15"/>
    <mergeCell ref="Z15:AG15"/>
    <mergeCell ref="AS7:AT8"/>
    <mergeCell ref="A10:C10"/>
    <mergeCell ref="D10:X10"/>
    <mergeCell ref="A11:C11"/>
    <mergeCell ref="D11:X11"/>
    <mergeCell ref="A12:C12"/>
    <mergeCell ref="D12:X12"/>
    <mergeCell ref="A1:B8"/>
    <mergeCell ref="C1:AP4"/>
    <mergeCell ref="AQ1:AR2"/>
    <mergeCell ref="AS1:AT2"/>
    <mergeCell ref="AQ3:AR4"/>
    <mergeCell ref="AS3:AT4"/>
    <mergeCell ref="C5:AP8"/>
    <mergeCell ref="AQ5:AR6"/>
    <mergeCell ref="AS5:AT6"/>
    <mergeCell ref="AQ7:AR8"/>
  </mergeCells>
  <conditionalFormatting sqref="H17:H19">
    <cfRule type="cellIs" dxfId="27" priority="24" operator="equal">
      <formula>"Muy Alta"</formula>
    </cfRule>
    <cfRule type="cellIs" dxfId="26" priority="25" operator="equal">
      <formula>"Alta"</formula>
    </cfRule>
    <cfRule type="cellIs" dxfId="25" priority="26" operator="equal">
      <formula>"Media"</formula>
    </cfRule>
    <cfRule type="cellIs" dxfId="24" priority="27" operator="equal">
      <formula>"Muy Baja"</formula>
    </cfRule>
    <cfRule type="cellIs" dxfId="23" priority="28" operator="equal">
      <formula>"Baja"</formula>
    </cfRule>
  </conditionalFormatting>
  <conditionalFormatting sqref="L17:L19">
    <cfRule type="cellIs" dxfId="22" priority="19" operator="equal">
      <formula>"Leve"</formula>
    </cfRule>
    <cfRule type="cellIs" dxfId="21" priority="20" operator="equal">
      <formula>"Catastrófico"</formula>
    </cfRule>
    <cfRule type="cellIs" dxfId="20" priority="21" operator="equal">
      <formula>"Mayor"</formula>
    </cfRule>
    <cfRule type="cellIs" dxfId="19" priority="22" operator="equal">
      <formula>"Moderado"</formula>
    </cfRule>
    <cfRule type="cellIs" dxfId="18" priority="23" operator="equal">
      <formula>"Menor"</formula>
    </cfRule>
  </conditionalFormatting>
  <conditionalFormatting sqref="O17:O19">
    <cfRule type="cellIs" dxfId="17" priority="15" operator="equal">
      <formula>"EXTREMO"</formula>
    </cfRule>
    <cfRule type="cellIs" dxfId="16" priority="16" operator="equal">
      <formula>"ALTO"</formula>
    </cfRule>
    <cfRule type="cellIs" dxfId="15" priority="17" operator="equal">
      <formula>"BAJO"</formula>
    </cfRule>
    <cfRule type="cellIs" dxfId="14" priority="18" operator="equal">
      <formula>"MODERADO"</formula>
    </cfRule>
  </conditionalFormatting>
  <conditionalFormatting sqref="AA17 AA19">
    <cfRule type="cellIs" dxfId="13" priority="10" operator="equal">
      <formula>"B+$Z$17Muy Baja"</formula>
    </cfRule>
    <cfRule type="cellIs" dxfId="12" priority="11" operator="equal">
      <formula>"Baja"</formula>
    </cfRule>
    <cfRule type="cellIs" dxfId="11" priority="12" operator="equal">
      <formula>"Media"</formula>
    </cfRule>
    <cfRule type="cellIs" dxfId="10" priority="13" operator="equal">
      <formula>"Muy Alta"</formula>
    </cfRule>
    <cfRule type="cellIs" dxfId="9" priority="14" operator="equal">
      <formula>"Alta"</formula>
    </cfRule>
  </conditionalFormatting>
  <conditionalFormatting sqref="AC17 AC19">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F17 AF19">
    <cfRule type="cellIs" dxfId="3" priority="1" operator="equal">
      <formula>"EXTREMO"</formula>
    </cfRule>
    <cfRule type="cellIs" dxfId="2" priority="2" operator="equal">
      <formula>"ALTO"</formula>
    </cfRule>
    <cfRule type="cellIs" dxfId="1" priority="3" operator="equal">
      <formula>"BAJO"</formula>
    </cfRule>
    <cfRule type="cellIs" dxfId="0" priority="4"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'[Mapa de Riesgos de Gestión 2022 IIT Control Interno Disciplinario.xlsx]Datos'!#REF!</xm:f>
          </x14:formula1>
          <xm:sqref>U17 U19</xm:sqref>
        </x14:dataValidation>
        <x14:dataValidation type="list" allowBlank="1" showInputMessage="1" showErrorMessage="1">
          <x14:formula1>
            <xm:f>'[Mapa de Riesgos de Gestión 2022 IIT Control Interno Disciplinario.xlsx]Datos'!#REF!</xm:f>
          </x14:formula1>
          <xm:sqref>T17 T19</xm:sqref>
        </x14:dataValidation>
        <x14:dataValidation type="list" allowBlank="1" showInputMessage="1" showErrorMessage="1">
          <x14:formula1>
            <xm:f>'[Mapa de Riesgos de Gestión 2022 IIT Control Interno Disciplinario.xlsx]Datos'!#REF!</xm:f>
          </x14:formula1>
          <xm:sqref>J17:J19</xm:sqref>
        </x14:dataValidation>
        <x14:dataValidation type="list" allowBlank="1" showInputMessage="1" showErrorMessage="1">
          <x14:formula1>
            <xm:f>'[Mapa de Riesgos de Gestión 2022 IIT Control Interno Disciplinario.xlsx]Datos'!#REF!</xm:f>
          </x14:formula1>
          <xm:sqref>B17:B19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3:Q28"/>
  <sheetViews>
    <sheetView topLeftCell="K1" zoomScale="120" zoomScaleNormal="120" workbookViewId="0">
      <selection activeCell="O13" sqref="O13"/>
    </sheetView>
  </sheetViews>
  <sheetFormatPr baseColWidth="10" defaultColWidth="11.42578125" defaultRowHeight="15" x14ac:dyDescent="0.25"/>
  <cols>
    <col min="7" max="7" width="14.85546875" customWidth="1"/>
    <col min="10" max="10" width="33" customWidth="1"/>
    <col min="15" max="15" width="81.42578125" customWidth="1"/>
  </cols>
  <sheetData>
    <row r="3" spans="1:17" x14ac:dyDescent="0.25">
      <c r="A3" s="26" t="s">
        <v>108</v>
      </c>
      <c r="D3" t="s">
        <v>109</v>
      </c>
      <c r="G3" t="s">
        <v>110</v>
      </c>
      <c r="J3" t="s">
        <v>111</v>
      </c>
      <c r="O3" t="s">
        <v>112</v>
      </c>
    </row>
    <row r="4" spans="1:17" x14ac:dyDescent="0.25">
      <c r="A4" t="s">
        <v>113</v>
      </c>
      <c r="D4" t="s">
        <v>114</v>
      </c>
      <c r="E4" s="25">
        <v>0.2</v>
      </c>
      <c r="G4" t="s">
        <v>115</v>
      </c>
      <c r="H4" s="25">
        <v>0.2</v>
      </c>
      <c r="J4" t="s">
        <v>116</v>
      </c>
      <c r="K4" t="s">
        <v>117</v>
      </c>
      <c r="O4" t="s">
        <v>118</v>
      </c>
      <c r="P4" s="3" t="s">
        <v>119</v>
      </c>
      <c r="Q4" s="28">
        <v>0.2</v>
      </c>
    </row>
    <row r="5" spans="1:17" x14ac:dyDescent="0.25">
      <c r="A5" t="s">
        <v>59</v>
      </c>
      <c r="D5" t="s">
        <v>120</v>
      </c>
      <c r="E5" s="25">
        <v>0.4</v>
      </c>
      <c r="G5" t="s">
        <v>121</v>
      </c>
      <c r="H5" s="25">
        <v>0.4</v>
      </c>
      <c r="J5" t="s">
        <v>122</v>
      </c>
      <c r="K5" t="s">
        <v>117</v>
      </c>
      <c r="O5" s="27" t="s">
        <v>123</v>
      </c>
      <c r="P5" s="3" t="s">
        <v>124</v>
      </c>
      <c r="Q5" s="28">
        <v>0.4</v>
      </c>
    </row>
    <row r="6" spans="1:17" x14ac:dyDescent="0.25">
      <c r="A6" t="s">
        <v>125</v>
      </c>
      <c r="D6" t="s">
        <v>126</v>
      </c>
      <c r="E6" s="25">
        <v>0.6</v>
      </c>
      <c r="G6" t="s">
        <v>127</v>
      </c>
      <c r="H6" s="25">
        <v>0.6</v>
      </c>
      <c r="J6" t="s">
        <v>128</v>
      </c>
      <c r="K6" t="s">
        <v>127</v>
      </c>
      <c r="O6" t="s">
        <v>129</v>
      </c>
      <c r="P6" s="3" t="s">
        <v>130</v>
      </c>
      <c r="Q6" s="28">
        <v>0.6</v>
      </c>
    </row>
    <row r="7" spans="1:17" x14ac:dyDescent="0.25">
      <c r="D7" t="s">
        <v>131</v>
      </c>
      <c r="E7" s="25">
        <v>0.8</v>
      </c>
      <c r="G7" t="s">
        <v>132</v>
      </c>
      <c r="H7" s="25">
        <v>0.8</v>
      </c>
      <c r="J7" t="s">
        <v>133</v>
      </c>
      <c r="K7" t="s">
        <v>134</v>
      </c>
      <c r="O7" t="s">
        <v>135</v>
      </c>
      <c r="P7" s="3" t="s">
        <v>136</v>
      </c>
      <c r="Q7" s="28">
        <v>0.8</v>
      </c>
    </row>
    <row r="8" spans="1:17" x14ac:dyDescent="0.25">
      <c r="D8" t="s">
        <v>137</v>
      </c>
      <c r="E8" s="25">
        <v>1</v>
      </c>
      <c r="G8" t="s">
        <v>138</v>
      </c>
      <c r="H8" s="25">
        <v>1</v>
      </c>
      <c r="J8" t="s">
        <v>139</v>
      </c>
      <c r="K8" t="s">
        <v>140</v>
      </c>
      <c r="O8" t="s">
        <v>141</v>
      </c>
      <c r="P8" s="3" t="s">
        <v>142</v>
      </c>
      <c r="Q8" s="28">
        <v>1</v>
      </c>
    </row>
    <row r="9" spans="1:17" x14ac:dyDescent="0.25">
      <c r="J9" t="s">
        <v>143</v>
      </c>
      <c r="K9" t="s">
        <v>117</v>
      </c>
    </row>
    <row r="10" spans="1:17" x14ac:dyDescent="0.25">
      <c r="J10" t="s">
        <v>144</v>
      </c>
      <c r="K10" t="s">
        <v>127</v>
      </c>
      <c r="O10" t="s">
        <v>145</v>
      </c>
    </row>
    <row r="11" spans="1:17" x14ac:dyDescent="0.25">
      <c r="J11" t="s">
        <v>146</v>
      </c>
      <c r="K11" t="s">
        <v>127</v>
      </c>
      <c r="O11" t="s">
        <v>147</v>
      </c>
      <c r="P11" s="3" t="s">
        <v>119</v>
      </c>
      <c r="Q11" s="28">
        <v>0.2</v>
      </c>
    </row>
    <row r="12" spans="1:17" ht="30.75" customHeight="1" x14ac:dyDescent="0.25">
      <c r="J12" t="s">
        <v>148</v>
      </c>
      <c r="K12" t="s">
        <v>134</v>
      </c>
      <c r="O12" s="27" t="s">
        <v>63</v>
      </c>
      <c r="P12" s="3" t="s">
        <v>124</v>
      </c>
      <c r="Q12" s="28">
        <v>0.4</v>
      </c>
    </row>
    <row r="13" spans="1:17" ht="30" x14ac:dyDescent="0.25">
      <c r="J13" t="s">
        <v>149</v>
      </c>
      <c r="K13" t="s">
        <v>140</v>
      </c>
      <c r="O13" s="27" t="s">
        <v>86</v>
      </c>
      <c r="P13" s="3" t="s">
        <v>130</v>
      </c>
      <c r="Q13" s="28">
        <v>0.6</v>
      </c>
    </row>
    <row r="14" spans="1:17" ht="30" x14ac:dyDescent="0.25">
      <c r="J14" t="s">
        <v>150</v>
      </c>
      <c r="K14" t="s">
        <v>127</v>
      </c>
      <c r="O14" s="27" t="s">
        <v>151</v>
      </c>
      <c r="P14" s="3" t="s">
        <v>136</v>
      </c>
      <c r="Q14" s="28">
        <v>0.8</v>
      </c>
    </row>
    <row r="15" spans="1:17" ht="30" x14ac:dyDescent="0.25">
      <c r="J15" t="s">
        <v>152</v>
      </c>
      <c r="K15" t="s">
        <v>127</v>
      </c>
      <c r="O15" s="27" t="s">
        <v>153</v>
      </c>
      <c r="P15" s="3" t="s">
        <v>142</v>
      </c>
      <c r="Q15" s="28">
        <v>1</v>
      </c>
    </row>
    <row r="16" spans="1:17" x14ac:dyDescent="0.25">
      <c r="J16" t="s">
        <v>154</v>
      </c>
      <c r="K16" t="s">
        <v>127</v>
      </c>
    </row>
    <row r="17" spans="10:16" x14ac:dyDescent="0.25">
      <c r="J17" t="s">
        <v>155</v>
      </c>
      <c r="K17" t="s">
        <v>134</v>
      </c>
    </row>
    <row r="18" spans="10:16" x14ac:dyDescent="0.25">
      <c r="J18" t="s">
        <v>156</v>
      </c>
      <c r="K18" t="s">
        <v>140</v>
      </c>
    </row>
    <row r="19" spans="10:16" x14ac:dyDescent="0.25">
      <c r="J19" t="s">
        <v>157</v>
      </c>
      <c r="K19" t="s">
        <v>127</v>
      </c>
      <c r="P19" t="s">
        <v>158</v>
      </c>
    </row>
    <row r="20" spans="10:16" x14ac:dyDescent="0.25">
      <c r="J20" t="s">
        <v>159</v>
      </c>
      <c r="K20" t="s">
        <v>127</v>
      </c>
      <c r="P20" t="s">
        <v>88</v>
      </c>
    </row>
    <row r="21" spans="10:16" x14ac:dyDescent="0.25">
      <c r="J21" t="s">
        <v>160</v>
      </c>
      <c r="K21" t="s">
        <v>134</v>
      </c>
      <c r="P21" t="s">
        <v>65</v>
      </c>
    </row>
    <row r="22" spans="10:16" x14ac:dyDescent="0.25">
      <c r="J22" t="s">
        <v>161</v>
      </c>
      <c r="K22" t="s">
        <v>134</v>
      </c>
      <c r="P22" t="s">
        <v>80</v>
      </c>
    </row>
    <row r="23" spans="10:16" x14ac:dyDescent="0.25">
      <c r="J23" t="s">
        <v>162</v>
      </c>
      <c r="K23" t="s">
        <v>140</v>
      </c>
    </row>
    <row r="24" spans="10:16" x14ac:dyDescent="0.25">
      <c r="J24" t="s">
        <v>163</v>
      </c>
      <c r="K24" t="s">
        <v>134</v>
      </c>
      <c r="P24" t="s">
        <v>164</v>
      </c>
    </row>
    <row r="25" spans="10:16" x14ac:dyDescent="0.25">
      <c r="J25" t="s">
        <v>165</v>
      </c>
      <c r="K25" t="s">
        <v>134</v>
      </c>
      <c r="P25" t="s">
        <v>166</v>
      </c>
    </row>
    <row r="26" spans="10:16" x14ac:dyDescent="0.25">
      <c r="J26" t="s">
        <v>167</v>
      </c>
      <c r="K26" t="s">
        <v>134</v>
      </c>
      <c r="P26" t="s">
        <v>66</v>
      </c>
    </row>
    <row r="27" spans="10:16" x14ac:dyDescent="0.25">
      <c r="J27" t="s">
        <v>168</v>
      </c>
      <c r="K27" t="s">
        <v>134</v>
      </c>
    </row>
    <row r="28" spans="10:16" x14ac:dyDescent="0.25">
      <c r="J28" t="s">
        <v>169</v>
      </c>
      <c r="K28" t="s">
        <v>140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8" ma:contentTypeDescription="Crear nuevo documento." ma:contentTypeScope="" ma:versionID="3c334712ddb1a386e221a84023a1ba0c">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1ff44eaf9d9925a66300bdb688085a0f"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CAB3E-6A9B-4F90-88A4-7BC31CB8DF57}">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2.xml><?xml version="1.0" encoding="utf-8"?>
<ds:datastoreItem xmlns:ds="http://schemas.openxmlformats.org/officeDocument/2006/customXml" ds:itemID="{0D9643F5-2424-4A9B-8529-E76DB2784EB3}">
  <ds:schemaRefs>
    <ds:schemaRef ds:uri="http://schemas.microsoft.com/sharepoint/v3/contenttype/forms"/>
  </ds:schemaRefs>
</ds:datastoreItem>
</file>

<file path=customXml/itemProps3.xml><?xml version="1.0" encoding="utf-8"?>
<ds:datastoreItem xmlns:ds="http://schemas.openxmlformats.org/officeDocument/2006/customXml" ds:itemID="{ED3222E1-9D1B-442C-A317-378899C5B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MEJORAMIENTO A LA GESTION</vt:lpstr>
      <vt:lpstr>EVALUACION A LA GESTION</vt:lpstr>
      <vt:lpstr>CONTROL INTERNO DISCIPLINARIO</vt:lpstr>
      <vt:lpstr>Datos</vt:lpstr>
      <vt:lpstr>'CONTROL INTERNO DISCIPLINARIO'!Área_de_impresión</vt:lpstr>
      <vt:lpstr>'EVALUACION A LA GESTION'!Área_de_impresión</vt:lpstr>
      <vt:lpstr>'MEJORAMIENTO A LA GESTION'!Área_de_impresión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Carlos Andres, Guerra Jimenez</cp:lastModifiedBy>
  <cp:revision/>
  <dcterms:created xsi:type="dcterms:W3CDTF">2021-05-10T15:52:34Z</dcterms:created>
  <dcterms:modified xsi:type="dcterms:W3CDTF">2025-12-04T16:43:38Z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