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tables/table16.xml" ContentType="application/vnd.openxmlformats-officedocument.spreadsheetml.table+xml"/>
  <Override PartName="/xl/tables/table17.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5.xml" ContentType="application/vnd.openxmlformats-officedocument.themeOverrid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6.xml" ContentType="application/vnd.openxmlformats-officedocument.themeOverrid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hidePivotFieldList="1" defaultThemeVersion="166925"/>
  <mc:AlternateContent xmlns:mc="http://schemas.openxmlformats.org/markup-compatibility/2006">
    <mc:Choice Requires="x15">
      <x15ac:absPath xmlns:x15ac="http://schemas.microsoft.com/office/spreadsheetml/2010/11/ac" url="C:\Users\Rosa Lima\Downloads\"/>
    </mc:Choice>
  </mc:AlternateContent>
  <xr:revisionPtr revIDLastSave="0" documentId="13_ncr:1_{C3774D19-A24C-4575-99B7-FE9D60AA6282}" xr6:coauthVersionLast="47" xr6:coauthVersionMax="47" xr10:uidLastSave="{00000000-0000-0000-0000-000000000000}"/>
  <bookViews>
    <workbookView xWindow="-108" yWindow="-108" windowWidth="23256" windowHeight="12456" firstSheet="1" activeTab="2" xr2:uid="{00000000-000D-0000-FFFF-FFFF00000000}"/>
  </bookViews>
  <sheets>
    <sheet name="Listas" sheetId="4" state="hidden" r:id="rId1"/>
    <sheet name="Avance Cuantitativo Productos" sheetId="1" r:id="rId2"/>
    <sheet name="Avance Cualitativo Productos" sheetId="2" r:id="rId3"/>
    <sheet name="Panel de Control PRODUCTOS" sheetId="5" r:id="rId4"/>
    <sheet name="Cálculos PRODUCTOS" sheetId="7" r:id="rId5"/>
    <sheet name="Gráficos PRODUCTOS" sheetId="8" r:id="rId6"/>
  </sheets>
  <definedNames>
    <definedName name="_xlpm.a" hidden="1">#NAME?</definedName>
    <definedName name="_xlpm.Anio" hidden="1">#NAME?</definedName>
    <definedName name="_xlpm.b" hidden="1">#NAME?</definedName>
    <definedName name="Anualiza_LB" comment="Anio_Calculo = Año para el cual se hace el calculo ; Anio_Reporte = Año del último reporte ; LB=LÍNEA BASE ; CORTE= Q1/Q2/Q3/Q4">+_xlfn.LAMBDA(_xlpm.Anio_Calculo,_xlpm.Anio_Reporte,_xlpm.LB,_xlpm.CORTE,IF(_xlpm.Anio_Reporte=_xlpm.Anio_Calculo,_xlpm.LB*(RIGHT(_xlpm.CORTE,1)/4),_xlpm.LB))</definedName>
  </definedNames>
  <calcPr calcId="191028"/>
  <pivotCaches>
    <pivotCache cacheId="6" r:id="rId7"/>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 i="2" l="1"/>
  <c r="T9" i="7"/>
  <c r="D34" i="5"/>
  <c r="C34" i="5"/>
  <c r="A34" i="5"/>
  <c r="R34" i="5" s="1" a="1"/>
  <c r="R34" i="5" s="1"/>
  <c r="R33" i="5" a="1"/>
  <c r="R33" i="5" s="1"/>
  <c r="D33" i="5"/>
  <c r="C33" i="5"/>
  <c r="A33" i="5"/>
  <c r="D32" i="5"/>
  <c r="C32" i="5"/>
  <c r="A32" i="5"/>
  <c r="R32" i="5" s="1" a="1"/>
  <c r="R32" i="5" s="1"/>
  <c r="D31" i="5"/>
  <c r="C31" i="5"/>
  <c r="A31" i="5"/>
  <c r="R31" i="5" s="1" a="1"/>
  <c r="R31" i="5" s="1"/>
  <c r="R30" i="5" a="1"/>
  <c r="R30" i="5" s="1"/>
  <c r="D30" i="5"/>
  <c r="C30" i="5"/>
  <c r="A30" i="5"/>
  <c r="R29" i="5" a="1"/>
  <c r="R29" i="5" s="1"/>
  <c r="D29" i="5"/>
  <c r="C29" i="5"/>
  <c r="A29" i="5"/>
  <c r="D28" i="5"/>
  <c r="C28" i="5"/>
  <c r="A28" i="5"/>
  <c r="R28" i="5" s="1" a="1"/>
  <c r="R28" i="5" s="1"/>
  <c r="D27" i="5"/>
  <c r="C27" i="5"/>
  <c r="A27" i="5"/>
  <c r="R27" i="5" s="1" a="1"/>
  <c r="R27" i="5" s="1"/>
  <c r="R26" i="5" a="1"/>
  <c r="R26" i="5" s="1"/>
  <c r="D26" i="5"/>
  <c r="C26" i="5"/>
  <c r="A26" i="5"/>
  <c r="R25" i="5" a="1"/>
  <c r="R25" i="5" s="1"/>
  <c r="D25" i="5"/>
  <c r="C25" i="5"/>
  <c r="A25" i="5"/>
  <c r="D24" i="5"/>
  <c r="C24" i="5"/>
  <c r="A24" i="5"/>
  <c r="R24" i="5" s="1" a="1"/>
  <c r="R24" i="5" s="1"/>
  <c r="D23" i="5"/>
  <c r="C23" i="5"/>
  <c r="A23" i="5"/>
  <c r="R23" i="5" s="1" a="1"/>
  <c r="R23" i="5" s="1"/>
  <c r="R22" i="5" a="1"/>
  <c r="R22" i="5" s="1"/>
  <c r="D22" i="5"/>
  <c r="C22" i="5"/>
  <c r="A22" i="5"/>
  <c r="D21" i="5"/>
  <c r="C21" i="5"/>
  <c r="A21" i="5"/>
  <c r="R21" i="5" s="1" a="1"/>
  <c r="R21" i="5" s="1"/>
  <c r="D20" i="5"/>
  <c r="C20" i="5"/>
  <c r="A20" i="5"/>
  <c r="R20" i="5" s="1" a="1"/>
  <c r="R20" i="5" s="1"/>
  <c r="R19" i="5" a="1"/>
  <c r="R19" i="5" s="1"/>
  <c r="D19" i="5"/>
  <c r="C19" i="5"/>
  <c r="A19" i="5"/>
  <c r="D18" i="5"/>
  <c r="C18" i="5"/>
  <c r="A18" i="5"/>
  <c r="R18" i="5" s="1" a="1"/>
  <c r="R18" i="5" s="1"/>
  <c r="D17" i="5"/>
  <c r="C17" i="5"/>
  <c r="A17" i="5"/>
  <c r="R17" i="5" s="1" a="1"/>
  <c r="R17" i="5" s="1"/>
  <c r="D16" i="5"/>
  <c r="C16" i="5"/>
  <c r="A16" i="5"/>
  <c r="R16" i="5" s="1" a="1"/>
  <c r="R16" i="5" s="1"/>
  <c r="R15" i="5" a="1"/>
  <c r="R15" i="5" s="1"/>
  <c r="D15" i="5"/>
  <c r="C15" i="5"/>
  <c r="A15" i="5"/>
  <c r="D14" i="5"/>
  <c r="C14" i="5"/>
  <c r="A14" i="5"/>
  <c r="R14" i="5" s="1" a="1"/>
  <c r="R14" i="5" s="1"/>
  <c r="D13" i="5"/>
  <c r="C13" i="5"/>
  <c r="A13" i="5"/>
  <c r="R13" i="5" s="1" a="1"/>
  <c r="R13" i="5" s="1"/>
  <c r="D12" i="5"/>
  <c r="C12" i="5"/>
  <c r="A12" i="5"/>
  <c r="R12" i="5" s="1" a="1"/>
  <c r="R12" i="5" s="1"/>
  <c r="R11" i="5" a="1"/>
  <c r="R11" i="5" s="1"/>
  <c r="D11" i="5"/>
  <c r="C11" i="5"/>
  <c r="A11" i="5"/>
  <c r="D10" i="5"/>
  <c r="C10" i="5"/>
  <c r="A10" i="5"/>
  <c r="R10" i="5" s="1" a="1"/>
  <c r="R10" i="5" s="1"/>
  <c r="D9" i="5"/>
  <c r="C9" i="5"/>
  <c r="A9" i="5"/>
  <c r="R9" i="5" s="1" a="1"/>
  <c r="R9" i="5" s="1"/>
  <c r="D8" i="5"/>
  <c r="C8" i="5"/>
  <c r="A8" i="5"/>
  <c r="R8" i="5" s="1" a="1"/>
  <c r="R8" i="5" s="1"/>
  <c r="R7" i="5" a="1"/>
  <c r="R7" i="5" s="1"/>
  <c r="D7" i="5"/>
  <c r="C7" i="5"/>
  <c r="A7" i="5"/>
  <c r="D6" i="5"/>
  <c r="C6" i="5"/>
  <c r="A6" i="5"/>
  <c r="R6" i="5" s="1" a="1"/>
  <c r="R6" i="5" s="1"/>
  <c r="R5" i="5" a="1"/>
  <c r="R5" i="5" s="1"/>
  <c r="D5" i="5"/>
  <c r="C5" i="5"/>
  <c r="A5" i="5"/>
  <c r="K35" i="2"/>
  <c r="J35" i="2"/>
  <c r="I35" i="2"/>
  <c r="H35" i="2"/>
  <c r="G35" i="2"/>
  <c r="F35" i="2"/>
  <c r="E35" i="2"/>
  <c r="D35" i="2"/>
  <c r="C35" i="2"/>
  <c r="A35" i="2"/>
  <c r="K34" i="2"/>
  <c r="J34" i="2"/>
  <c r="I34" i="2"/>
  <c r="H34" i="2"/>
  <c r="G34" i="2"/>
  <c r="F34" i="2"/>
  <c r="E34" i="2"/>
  <c r="D34" i="2"/>
  <c r="C34" i="2"/>
  <c r="A34" i="2"/>
  <c r="K33" i="2"/>
  <c r="J33" i="2"/>
  <c r="I33" i="2"/>
  <c r="H33" i="2"/>
  <c r="G33" i="2"/>
  <c r="F33" i="2"/>
  <c r="E33" i="2"/>
  <c r="D33" i="2"/>
  <c r="C33" i="2"/>
  <c r="A33" i="2"/>
  <c r="K32" i="2"/>
  <c r="J32" i="2"/>
  <c r="I32" i="2"/>
  <c r="H32" i="2"/>
  <c r="G32" i="2"/>
  <c r="F32" i="2"/>
  <c r="E32" i="2"/>
  <c r="D32" i="2"/>
  <c r="C32" i="2"/>
  <c r="A32" i="2"/>
  <c r="K31" i="2"/>
  <c r="J31" i="2"/>
  <c r="I31" i="2"/>
  <c r="H31" i="2"/>
  <c r="G31" i="2"/>
  <c r="F31" i="2"/>
  <c r="E31" i="2"/>
  <c r="D31" i="2"/>
  <c r="C31" i="2"/>
  <c r="A31" i="2"/>
  <c r="K30" i="2"/>
  <c r="J30" i="2"/>
  <c r="I30" i="2"/>
  <c r="H30" i="2"/>
  <c r="G30" i="2"/>
  <c r="F30" i="2"/>
  <c r="E30" i="2"/>
  <c r="D30" i="2"/>
  <c r="C30" i="2"/>
  <c r="A30" i="2"/>
  <c r="K29" i="2"/>
  <c r="J29" i="2"/>
  <c r="I29" i="2"/>
  <c r="H29" i="2"/>
  <c r="G29" i="2"/>
  <c r="F29" i="2"/>
  <c r="E29" i="2"/>
  <c r="D29" i="2"/>
  <c r="C29" i="2"/>
  <c r="A29" i="2"/>
  <c r="K28" i="2"/>
  <c r="J28" i="2"/>
  <c r="I28" i="2"/>
  <c r="H28" i="2"/>
  <c r="G28" i="2"/>
  <c r="F28" i="2"/>
  <c r="E28" i="2"/>
  <c r="D28" i="2"/>
  <c r="C28" i="2"/>
  <c r="A28" i="2"/>
  <c r="K27" i="2"/>
  <c r="J27" i="2"/>
  <c r="I27" i="2"/>
  <c r="H27" i="2"/>
  <c r="G27" i="2"/>
  <c r="F27" i="2"/>
  <c r="E27" i="2"/>
  <c r="D27" i="2"/>
  <c r="C27" i="2"/>
  <c r="A27" i="2"/>
  <c r="K26" i="2"/>
  <c r="J26" i="2"/>
  <c r="I26" i="2"/>
  <c r="H26" i="2"/>
  <c r="G26" i="2"/>
  <c r="F26" i="2"/>
  <c r="E26" i="2"/>
  <c r="D26" i="2"/>
  <c r="C26" i="2"/>
  <c r="A26" i="2"/>
  <c r="K25" i="2"/>
  <c r="J25" i="2"/>
  <c r="I25" i="2"/>
  <c r="H25" i="2"/>
  <c r="G25" i="2"/>
  <c r="F25" i="2"/>
  <c r="E25" i="2"/>
  <c r="D25" i="2"/>
  <c r="C25" i="2"/>
  <c r="A25" i="2"/>
  <c r="K24" i="2"/>
  <c r="J24" i="2"/>
  <c r="I24" i="2"/>
  <c r="H24" i="2"/>
  <c r="G24" i="2"/>
  <c r="F24" i="2"/>
  <c r="E24" i="2"/>
  <c r="D24" i="2"/>
  <c r="C24" i="2"/>
  <c r="A24" i="2"/>
  <c r="K23" i="2"/>
  <c r="J23" i="2"/>
  <c r="I23" i="2"/>
  <c r="H23" i="2"/>
  <c r="G23" i="2"/>
  <c r="F23" i="2"/>
  <c r="E23" i="2"/>
  <c r="D23" i="2"/>
  <c r="C23" i="2"/>
  <c r="A23" i="2"/>
  <c r="K22" i="2"/>
  <c r="J22" i="2"/>
  <c r="I22" i="2"/>
  <c r="H22" i="2"/>
  <c r="G22" i="2"/>
  <c r="F22" i="2"/>
  <c r="E22" i="2"/>
  <c r="D22" i="2"/>
  <c r="C22" i="2"/>
  <c r="A22" i="2"/>
  <c r="K21" i="2"/>
  <c r="J21" i="2"/>
  <c r="I21" i="2"/>
  <c r="H21" i="2"/>
  <c r="G21" i="2"/>
  <c r="F21" i="2"/>
  <c r="E21" i="2"/>
  <c r="D21" i="2"/>
  <c r="C21" i="2"/>
  <c r="A21" i="2"/>
  <c r="K20" i="2"/>
  <c r="J20" i="2"/>
  <c r="I20" i="2"/>
  <c r="H20" i="2"/>
  <c r="G20" i="2"/>
  <c r="F20" i="2"/>
  <c r="E20" i="2"/>
  <c r="D20" i="2"/>
  <c r="C20" i="2"/>
  <c r="A20" i="2"/>
  <c r="K19" i="2"/>
  <c r="J19" i="2"/>
  <c r="I19" i="2"/>
  <c r="H19" i="2"/>
  <c r="G19" i="2"/>
  <c r="F19" i="2"/>
  <c r="E19" i="2"/>
  <c r="D19" i="2"/>
  <c r="C19" i="2"/>
  <c r="A19" i="2"/>
  <c r="K18" i="2"/>
  <c r="J18" i="2"/>
  <c r="I18" i="2"/>
  <c r="H18" i="2"/>
  <c r="G18" i="2"/>
  <c r="F18" i="2"/>
  <c r="E18" i="2"/>
  <c r="D18" i="2"/>
  <c r="C18" i="2"/>
  <c r="A18" i="2"/>
  <c r="K17" i="2"/>
  <c r="J17" i="2"/>
  <c r="I17" i="2"/>
  <c r="H17" i="2"/>
  <c r="G17" i="2"/>
  <c r="F17" i="2"/>
  <c r="E17" i="2"/>
  <c r="D17" i="2"/>
  <c r="C17" i="2"/>
  <c r="A17" i="2"/>
  <c r="K16" i="2"/>
  <c r="J16" i="2"/>
  <c r="I16" i="2"/>
  <c r="H16" i="2"/>
  <c r="G16" i="2"/>
  <c r="F16" i="2"/>
  <c r="E16" i="2"/>
  <c r="D16" i="2"/>
  <c r="C16" i="2"/>
  <c r="A16" i="2"/>
  <c r="K15" i="2"/>
  <c r="J15" i="2"/>
  <c r="I15" i="2"/>
  <c r="H15" i="2"/>
  <c r="G15" i="2"/>
  <c r="F15" i="2"/>
  <c r="E15" i="2"/>
  <c r="D15" i="2"/>
  <c r="C15" i="2"/>
  <c r="A15" i="2"/>
  <c r="K14" i="2"/>
  <c r="J14" i="2"/>
  <c r="I14" i="2"/>
  <c r="H14" i="2"/>
  <c r="G14" i="2"/>
  <c r="F14" i="2"/>
  <c r="E14" i="2"/>
  <c r="D14" i="2"/>
  <c r="C14" i="2"/>
  <c r="A14" i="2"/>
  <c r="K13" i="2"/>
  <c r="J13" i="2"/>
  <c r="I13" i="2"/>
  <c r="H13" i="2"/>
  <c r="G13" i="2"/>
  <c r="F13" i="2"/>
  <c r="E13" i="2"/>
  <c r="C13" i="2"/>
  <c r="A13" i="2"/>
  <c r="K12" i="2"/>
  <c r="J12" i="2"/>
  <c r="I12" i="2"/>
  <c r="H12" i="2"/>
  <c r="G12" i="2"/>
  <c r="F12" i="2"/>
  <c r="E12" i="2"/>
  <c r="D12" i="2"/>
  <c r="C12" i="2"/>
  <c r="A12" i="2"/>
  <c r="K11" i="2"/>
  <c r="J11" i="2"/>
  <c r="I11" i="2"/>
  <c r="H11" i="2"/>
  <c r="G11" i="2"/>
  <c r="F11" i="2"/>
  <c r="E11" i="2"/>
  <c r="D11" i="2"/>
  <c r="C11" i="2"/>
  <c r="A11" i="2"/>
  <c r="K10" i="2"/>
  <c r="J10" i="2"/>
  <c r="I10" i="2"/>
  <c r="H10" i="2"/>
  <c r="G10" i="2"/>
  <c r="F10" i="2"/>
  <c r="E10" i="2"/>
  <c r="D10" i="2"/>
  <c r="C10" i="2"/>
  <c r="A10" i="2"/>
  <c r="K9" i="2"/>
  <c r="J9" i="2"/>
  <c r="I9" i="2"/>
  <c r="H9" i="2"/>
  <c r="G9" i="2"/>
  <c r="F9" i="2"/>
  <c r="E9" i="2"/>
  <c r="D9" i="2"/>
  <c r="C9" i="2"/>
  <c r="A9" i="2"/>
  <c r="K8" i="2"/>
  <c r="J8" i="2"/>
  <c r="I8" i="2"/>
  <c r="H8" i="2"/>
  <c r="G8" i="2"/>
  <c r="F8" i="2"/>
  <c r="E8" i="2"/>
  <c r="D8" i="2"/>
  <c r="C8" i="2"/>
  <c r="A8" i="2"/>
  <c r="K7" i="2"/>
  <c r="J7" i="2"/>
  <c r="I7" i="2"/>
  <c r="H7" i="2"/>
  <c r="G7" i="2"/>
  <c r="F7" i="2"/>
  <c r="E7" i="2"/>
  <c r="D7" i="2"/>
  <c r="C7" i="2"/>
  <c r="A7" i="2"/>
  <c r="K6" i="2"/>
  <c r="J6" i="2"/>
  <c r="I6" i="2"/>
  <c r="H6" i="2"/>
  <c r="G6" i="2"/>
  <c r="F6" i="2"/>
  <c r="E6" i="2"/>
  <c r="D6" i="2"/>
  <c r="C6" i="2"/>
  <c r="A6" i="2"/>
  <c r="BK35" i="1" a="1"/>
  <c r="BK35" i="1" s="1"/>
  <c r="AZ35" i="1" a="1"/>
  <c r="AZ35" i="1" s="1"/>
  <c r="BY35" i="1" s="1" a="1"/>
  <c r="BY35" i="1" s="1"/>
  <c r="AY35" i="1" a="1"/>
  <c r="AY35" i="1" s="1"/>
  <c r="AX35" i="1" a="1"/>
  <c r="AX35" i="1" s="1"/>
  <c r="CM35" i="1" s="1" a="1"/>
  <c r="CM35" i="1" s="1"/>
  <c r="AW35" i="1" a="1"/>
  <c r="AW35" i="1" s="1"/>
  <c r="AV35" i="1" a="1"/>
  <c r="AV35" i="1" s="1"/>
  <c r="CK35" i="1" s="1" a="1"/>
  <c r="CK35" i="1" s="1"/>
  <c r="AU35" i="1" a="1"/>
  <c r="AU35" i="1" s="1"/>
  <c r="AT35" i="1" a="1"/>
  <c r="AT35" i="1" s="1"/>
  <c r="CI35" i="1" s="1" a="1"/>
  <c r="CI35" i="1" s="1"/>
  <c r="AQ35" i="1"/>
  <c r="B35" i="1"/>
  <c r="BK34" i="1" a="1"/>
  <c r="BK34" i="1" s="1"/>
  <c r="AZ34" i="1" a="1"/>
  <c r="AZ34" i="1" s="1"/>
  <c r="CO34" i="1" s="1" a="1"/>
  <c r="CO34" i="1" s="1"/>
  <c r="AY34" i="1" a="1"/>
  <c r="AY34" i="1" s="1"/>
  <c r="AX34" i="1" a="1"/>
  <c r="AX34" i="1" s="1"/>
  <c r="AW34" i="1" a="1"/>
  <c r="AW34" i="1" s="1"/>
  <c r="AV34" i="1" a="1"/>
  <c r="AV34" i="1" s="1"/>
  <c r="AU34" i="1" a="1"/>
  <c r="AU34" i="1" s="1"/>
  <c r="AT34" i="1" a="1"/>
  <c r="AT34" i="1" s="1"/>
  <c r="CI34" i="1" s="1" a="1"/>
  <c r="CI34" i="1" s="1"/>
  <c r="AQ34" i="1"/>
  <c r="BA34" i="1" s="1" a="1"/>
  <c r="BA34" i="1" s="1"/>
  <c r="M34" i="1" a="1"/>
  <c r="M34" i="1" s="1"/>
  <c r="L34" i="1" a="1"/>
  <c r="L34" i="1" s="1"/>
  <c r="L34" i="2" s="1"/>
  <c r="B34" i="1"/>
  <c r="BK33" i="1" a="1"/>
  <c r="BK33" i="1" s="1"/>
  <c r="BA33" i="1" a="1"/>
  <c r="BA33" i="1" s="1"/>
  <c r="AZ33" i="1" a="1"/>
  <c r="AZ33" i="1" s="1"/>
  <c r="AX33" i="1" a="1"/>
  <c r="AX33" i="1" s="1"/>
  <c r="AW33" i="1" a="1"/>
  <c r="AW33" i="1" s="1"/>
  <c r="AV33" i="1" a="1"/>
  <c r="AV33" i="1" s="1"/>
  <c r="AU33" i="1" a="1"/>
  <c r="AU33" i="1" s="1"/>
  <c r="AT33" i="1" a="1"/>
  <c r="AT33" i="1" s="1"/>
  <c r="AQ33" i="1"/>
  <c r="M33" i="1" a="1"/>
  <c r="M33" i="1" s="1"/>
  <c r="L33" i="1" a="1"/>
  <c r="L33" i="1" s="1"/>
  <c r="L33" i="2" s="1"/>
  <c r="B33" i="1"/>
  <c r="BK32" i="1" a="1"/>
  <c r="BK32" i="1" s="1"/>
  <c r="AZ32" i="1" a="1"/>
  <c r="AZ32" i="1" s="1"/>
  <c r="AY32" i="1" a="1"/>
  <c r="AY32" i="1" s="1"/>
  <c r="CN32" i="1" s="1" a="1"/>
  <c r="CN32" i="1" s="1"/>
  <c r="AX32" i="1" a="1"/>
  <c r="AX32" i="1" s="1"/>
  <c r="AW32" i="1" a="1"/>
  <c r="AW32" i="1" s="1"/>
  <c r="CL32" i="1" s="1" a="1"/>
  <c r="CL32" i="1" s="1"/>
  <c r="AV32" i="1" a="1"/>
  <c r="AV32" i="1" s="1"/>
  <c r="AU32" i="1" a="1"/>
  <c r="AU32" i="1" s="1"/>
  <c r="CJ32" i="1" s="1" a="1"/>
  <c r="CJ32" i="1" s="1"/>
  <c r="AT32" i="1" a="1"/>
  <c r="AT32" i="1" s="1"/>
  <c r="AQ32" i="1"/>
  <c r="BA32" i="1" s="1" a="1"/>
  <c r="BA32" i="1" s="1"/>
  <c r="M32" i="1" a="1"/>
  <c r="M32" i="1" s="1"/>
  <c r="L32" i="1" a="1"/>
  <c r="L32" i="1" s="1"/>
  <c r="L32" i="2" s="1"/>
  <c r="B32" i="1"/>
  <c r="BK31" i="1" a="1"/>
  <c r="BK31" i="1" s="1"/>
  <c r="AZ31" i="1" a="1"/>
  <c r="AZ31" i="1" s="1"/>
  <c r="AY31" i="1" a="1"/>
  <c r="AY31" i="1" s="1"/>
  <c r="AX31" i="1" a="1"/>
  <c r="AX31" i="1" s="1"/>
  <c r="AW31" i="1" a="1"/>
  <c r="AW31" i="1" s="1"/>
  <c r="AV31" i="1" a="1"/>
  <c r="AV31" i="1" s="1"/>
  <c r="AU31" i="1" a="1"/>
  <c r="AU31" i="1" s="1"/>
  <c r="AT31" i="1" a="1"/>
  <c r="AT31" i="1" s="1"/>
  <c r="AQ31" i="1"/>
  <c r="BA31" i="1" s="1" a="1"/>
  <c r="BA31" i="1" s="1"/>
  <c r="M31" i="1" a="1"/>
  <c r="M31" i="1" s="1"/>
  <c r="L31" i="1" a="1"/>
  <c r="L31" i="1" s="1"/>
  <c r="L31" i="2" s="1"/>
  <c r="B31" i="1"/>
  <c r="BK30" i="1" a="1"/>
  <c r="BK30" i="1" s="1"/>
  <c r="AZ30" i="1" a="1"/>
  <c r="AZ30" i="1" s="1"/>
  <c r="AY30" i="1" a="1"/>
  <c r="AY30" i="1" s="1"/>
  <c r="AX30" i="1" a="1"/>
  <c r="AX30" i="1" s="1"/>
  <c r="AW30" i="1" a="1"/>
  <c r="AW30" i="1" s="1"/>
  <c r="CL30" i="1" s="1" a="1"/>
  <c r="CL30" i="1" s="1"/>
  <c r="AV30" i="1" a="1"/>
  <c r="AV30" i="1" s="1"/>
  <c r="AU30" i="1" a="1"/>
  <c r="AU30" i="1" s="1"/>
  <c r="CJ30" i="1" s="1" a="1"/>
  <c r="CJ30" i="1" s="1"/>
  <c r="AT30" i="1" a="1"/>
  <c r="AT30" i="1" s="1"/>
  <c r="AQ30" i="1"/>
  <c r="BA30" i="1" s="1" a="1"/>
  <c r="BA30" i="1" s="1"/>
  <c r="M30" i="1" a="1"/>
  <c r="M30" i="1" s="1"/>
  <c r="L30" i="1" a="1"/>
  <c r="L30" i="1" s="1"/>
  <c r="L30" i="2" s="1"/>
  <c r="B30" i="1"/>
  <c r="B29" i="5" s="1"/>
  <c r="BK29" i="1" a="1"/>
  <c r="BK29" i="1" s="1"/>
  <c r="AZ29" i="1" a="1"/>
  <c r="AZ29" i="1" s="1"/>
  <c r="AY29" i="1" a="1"/>
  <c r="AY29" i="1" s="1"/>
  <c r="AX29" i="1" a="1"/>
  <c r="AX29" i="1" s="1"/>
  <c r="AW29" i="1" a="1"/>
  <c r="AW29" i="1" s="1"/>
  <c r="AV29" i="1" a="1"/>
  <c r="AV29" i="1" s="1"/>
  <c r="AU29" i="1" a="1"/>
  <c r="AU29" i="1" s="1"/>
  <c r="AT29" i="1" a="1"/>
  <c r="AT29" i="1" s="1"/>
  <c r="AQ29" i="1"/>
  <c r="BA29" i="1" s="1" a="1"/>
  <c r="BA29" i="1" s="1"/>
  <c r="M29" i="1" a="1"/>
  <c r="M29" i="1" s="1"/>
  <c r="L29" i="1" a="1"/>
  <c r="L29" i="1" s="1"/>
  <c r="L29" i="2" s="1"/>
  <c r="B29" i="1"/>
  <c r="BK28" i="1" a="1"/>
  <c r="BK28" i="1" s="1"/>
  <c r="AZ28" i="1" a="1"/>
  <c r="AZ28" i="1" s="1"/>
  <c r="AY28" i="1" a="1"/>
  <c r="AY28" i="1" s="1"/>
  <c r="AX28" i="1" a="1"/>
  <c r="AX28" i="1" s="1"/>
  <c r="AW28" i="1" a="1"/>
  <c r="AW28" i="1" s="1"/>
  <c r="AV28" i="1" a="1"/>
  <c r="AV28" i="1" s="1"/>
  <c r="AU28" i="1" a="1"/>
  <c r="AU28" i="1" s="1"/>
  <c r="AT28" i="1" a="1"/>
  <c r="AT28" i="1" s="1"/>
  <c r="AQ28" i="1"/>
  <c r="BA28" i="1" s="1" a="1"/>
  <c r="BA28" i="1" s="1"/>
  <c r="M28" i="1" a="1"/>
  <c r="M28" i="1" s="1"/>
  <c r="L28" i="1" a="1"/>
  <c r="L28" i="1" s="1"/>
  <c r="L28" i="2" s="1"/>
  <c r="B28" i="1"/>
  <c r="BK27" i="1" a="1"/>
  <c r="BK27" i="1" s="1"/>
  <c r="AZ27" i="1" a="1"/>
  <c r="AZ27" i="1" s="1"/>
  <c r="AY27" i="1" a="1"/>
  <c r="AY27" i="1" s="1"/>
  <c r="CN27" i="1" s="1" a="1"/>
  <c r="CN27" i="1" s="1"/>
  <c r="AX27" i="1" a="1"/>
  <c r="AX27" i="1" s="1"/>
  <c r="AW27" i="1" a="1"/>
  <c r="AW27" i="1" s="1"/>
  <c r="CD27" i="1" s="1" a="1"/>
  <c r="CD27" i="1" s="1"/>
  <c r="AV27" i="1" a="1"/>
  <c r="AV27" i="1" s="1"/>
  <c r="AU27" i="1" a="1"/>
  <c r="AU27" i="1" s="1"/>
  <c r="AT27" i="1" a="1"/>
  <c r="AT27" i="1" s="1"/>
  <c r="AQ27" i="1"/>
  <c r="BA27" i="1" s="1" a="1"/>
  <c r="BA27" i="1" s="1"/>
  <c r="M27" i="1" a="1"/>
  <c r="M27" i="1"/>
  <c r="L27" i="1" a="1"/>
  <c r="L27" i="1" s="1"/>
  <c r="L27" i="2" s="1"/>
  <c r="B27" i="1"/>
  <c r="BK26" i="1" a="1"/>
  <c r="BK26" i="1" s="1"/>
  <c r="AZ26" i="1" a="1"/>
  <c r="AZ26" i="1" s="1"/>
  <c r="AY26" i="1" a="1"/>
  <c r="AY26" i="1" s="1"/>
  <c r="AX26" i="1" a="1"/>
  <c r="AX26" i="1" s="1"/>
  <c r="AW26" i="1" a="1"/>
  <c r="AW26" i="1" s="1"/>
  <c r="AV26" i="1" a="1"/>
  <c r="AV26" i="1" s="1"/>
  <c r="AU26" i="1" a="1"/>
  <c r="AU26" i="1" s="1"/>
  <c r="CJ26" i="1" s="1" a="1"/>
  <c r="CJ26" i="1" s="1"/>
  <c r="AT26" i="1" a="1"/>
  <c r="AT26" i="1" s="1"/>
  <c r="AQ26" i="1"/>
  <c r="L26" i="1" s="1" a="1"/>
  <c r="L26" i="1" s="1"/>
  <c r="L26" i="2" s="1"/>
  <c r="B26" i="1"/>
  <c r="BK25" i="1" a="1"/>
  <c r="BK25" i="1" s="1"/>
  <c r="AZ25" i="1" a="1"/>
  <c r="AZ25" i="1" s="1"/>
  <c r="AY25" i="1" a="1"/>
  <c r="AY25" i="1" s="1"/>
  <c r="CN25" i="1" s="1" a="1"/>
  <c r="CN25" i="1" s="1"/>
  <c r="AX25" i="1" a="1"/>
  <c r="AX25" i="1" s="1"/>
  <c r="AW25" i="1" a="1"/>
  <c r="AW25" i="1" s="1"/>
  <c r="CL25" i="1" s="1" a="1"/>
  <c r="CL25" i="1" s="1"/>
  <c r="AV25" i="1" a="1"/>
  <c r="AV25" i="1" s="1"/>
  <c r="AU25" i="1" a="1"/>
  <c r="AU25" i="1" s="1"/>
  <c r="CJ25" i="1" s="1" a="1"/>
  <c r="CJ25" i="1" s="1"/>
  <c r="AT25" i="1" a="1"/>
  <c r="AT25" i="1" s="1"/>
  <c r="AQ25" i="1"/>
  <c r="B25" i="1"/>
  <c r="BK24" i="1" a="1"/>
  <c r="BK24" i="1" s="1"/>
  <c r="AZ24" i="1" a="1"/>
  <c r="AZ24" i="1" s="1"/>
  <c r="CO24" i="1" s="1" a="1"/>
  <c r="CO24" i="1" s="1"/>
  <c r="AY24" i="1" a="1"/>
  <c r="AY24" i="1" s="1"/>
  <c r="CN24" i="1" s="1" a="1"/>
  <c r="CN24" i="1" s="1"/>
  <c r="AX24" i="1" a="1"/>
  <c r="AX24" i="1" s="1"/>
  <c r="CM24" i="1" s="1" a="1"/>
  <c r="CM24" i="1" s="1"/>
  <c r="AW24" i="1" a="1"/>
  <c r="AW24" i="1" s="1"/>
  <c r="CL24" i="1" s="1" a="1"/>
  <c r="CL24" i="1" s="1"/>
  <c r="AV24" i="1" a="1"/>
  <c r="AV24" i="1" s="1"/>
  <c r="CK24" i="1" s="1" a="1"/>
  <c r="CK24" i="1" s="1"/>
  <c r="AU24" i="1" a="1"/>
  <c r="AU24" i="1" s="1"/>
  <c r="CJ24" i="1" s="1" a="1"/>
  <c r="CJ24" i="1" s="1"/>
  <c r="AT24" i="1" a="1"/>
  <c r="AT24" i="1" s="1"/>
  <c r="CI24" i="1" s="1" a="1"/>
  <c r="CI24" i="1" s="1"/>
  <c r="AQ24" i="1"/>
  <c r="B24" i="1"/>
  <c r="BK23" i="1" a="1"/>
  <c r="BK23" i="1" s="1"/>
  <c r="AZ23" i="1" a="1"/>
  <c r="AZ23" i="1" s="1"/>
  <c r="CO23" i="1" s="1" a="1"/>
  <c r="CO23" i="1" s="1"/>
  <c r="AY23" i="1" a="1"/>
  <c r="AY23" i="1" s="1"/>
  <c r="CN23" i="1" s="1" a="1"/>
  <c r="CN23" i="1" s="1"/>
  <c r="AX23" i="1" a="1"/>
  <c r="AX23" i="1" s="1"/>
  <c r="CM23" i="1" s="1" a="1"/>
  <c r="CM23" i="1" s="1"/>
  <c r="AW23" i="1" a="1"/>
  <c r="AW23" i="1" s="1"/>
  <c r="CL23" i="1" s="1" a="1"/>
  <c r="CL23" i="1" s="1"/>
  <c r="AV23" i="1" a="1"/>
  <c r="AV23" i="1" s="1"/>
  <c r="CK23" i="1" s="1" a="1"/>
  <c r="CK23" i="1" s="1"/>
  <c r="AU23" i="1" a="1"/>
  <c r="AU23" i="1" s="1"/>
  <c r="AT23" i="1" a="1"/>
  <c r="AT23" i="1" s="1"/>
  <c r="CI23" i="1" s="1" a="1"/>
  <c r="CI23" i="1" s="1"/>
  <c r="AQ23" i="1"/>
  <c r="L23" i="1" s="1" a="1"/>
  <c r="L23" i="1" s="1"/>
  <c r="L23" i="2" s="1"/>
  <c r="B23" i="1"/>
  <c r="BK22" i="1" a="1"/>
  <c r="BK22" i="1" s="1"/>
  <c r="AZ22" i="1" a="1"/>
  <c r="AZ22" i="1" s="1"/>
  <c r="CO22" i="1" s="1" a="1"/>
  <c r="CO22" i="1" s="1"/>
  <c r="AY22" i="1" a="1"/>
  <c r="AY22" i="1" s="1"/>
  <c r="AX22" i="1" a="1"/>
  <c r="AX22" i="1" s="1"/>
  <c r="CM22" i="1" s="1" a="1"/>
  <c r="CM22" i="1" s="1"/>
  <c r="AW22" i="1" a="1"/>
  <c r="AW22" i="1" s="1"/>
  <c r="AV22" i="1" a="1"/>
  <c r="AV22" i="1" s="1"/>
  <c r="BU22" i="1" s="1" a="1"/>
  <c r="BU22" i="1" s="1"/>
  <c r="AU22" i="1" a="1"/>
  <c r="AU22" i="1" s="1"/>
  <c r="CJ22" i="1" s="1" a="1"/>
  <c r="CJ22" i="1" s="1"/>
  <c r="AT22" i="1" a="1"/>
  <c r="AT22" i="1" s="1"/>
  <c r="CI22" i="1" s="1" a="1"/>
  <c r="CI22" i="1" s="1"/>
  <c r="AQ22" i="1"/>
  <c r="L22" i="1" s="1" a="1"/>
  <c r="M22" i="1" a="1"/>
  <c r="M22" i="1"/>
  <c r="L22" i="1"/>
  <c r="L22" i="2" s="1"/>
  <c r="B22" i="1"/>
  <c r="BK21" i="1" a="1"/>
  <c r="BK21" i="1" s="1"/>
  <c r="AZ21" i="1" a="1"/>
  <c r="AZ21" i="1" s="1"/>
  <c r="CO21" i="1" s="1" a="1"/>
  <c r="CO21" i="1" s="1"/>
  <c r="AY21" i="1" a="1"/>
  <c r="AY21" i="1" s="1"/>
  <c r="CN21" i="1" s="1" a="1"/>
  <c r="CN21" i="1" s="1"/>
  <c r="AX21" i="1" a="1"/>
  <c r="AX21" i="1" s="1"/>
  <c r="CM21" i="1" s="1" a="1"/>
  <c r="CM21" i="1" s="1"/>
  <c r="AW21" i="1" a="1"/>
  <c r="AW21" i="1" s="1"/>
  <c r="CL21" i="1" s="1" a="1"/>
  <c r="CL21" i="1" s="1"/>
  <c r="AV21" i="1" a="1"/>
  <c r="AV21" i="1" s="1"/>
  <c r="CK21" i="1" s="1" a="1"/>
  <c r="CK21" i="1" s="1"/>
  <c r="AU21" i="1" a="1"/>
  <c r="AU21" i="1" s="1"/>
  <c r="AT21" i="1" a="1"/>
  <c r="AT21" i="1" s="1"/>
  <c r="CI21" i="1" s="1" a="1"/>
  <c r="CI21" i="1" s="1"/>
  <c r="AQ21" i="1"/>
  <c r="L21" i="1" s="1" a="1"/>
  <c r="L21" i="1" s="1"/>
  <c r="L21" i="2" s="1"/>
  <c r="B21" i="1"/>
  <c r="BK20" i="1" a="1"/>
  <c r="BK20" i="1" s="1"/>
  <c r="AZ20" i="1" a="1"/>
  <c r="AZ20" i="1" s="1"/>
  <c r="AY20" i="1" a="1"/>
  <c r="AY20" i="1" s="1"/>
  <c r="AX20" i="1" a="1"/>
  <c r="AX20" i="1" s="1"/>
  <c r="AW20" i="1" a="1"/>
  <c r="AW20" i="1" s="1"/>
  <c r="AV20" i="1" a="1"/>
  <c r="AV20" i="1" s="1"/>
  <c r="CK20" i="1" s="1" a="1"/>
  <c r="CK20" i="1" s="1"/>
  <c r="AU20" i="1" a="1"/>
  <c r="AU20" i="1" s="1"/>
  <c r="CJ20" i="1" s="1" a="1"/>
  <c r="CJ20" i="1" s="1"/>
  <c r="AT20" i="1" a="1"/>
  <c r="AT20" i="1" s="1"/>
  <c r="CI20" i="1" s="1" a="1"/>
  <c r="CI20" i="1" s="1"/>
  <c r="AQ20" i="1"/>
  <c r="L20" i="1" s="1" a="1"/>
  <c r="M20" i="1" a="1"/>
  <c r="M20" i="1"/>
  <c r="L20" i="1"/>
  <c r="L20" i="2" s="1"/>
  <c r="B20" i="1"/>
  <c r="BK19" i="1" a="1"/>
  <c r="BK19" i="1" s="1"/>
  <c r="BA19" i="1" a="1"/>
  <c r="BA19" i="1" s="1"/>
  <c r="AZ19" i="1" a="1"/>
  <c r="AZ19" i="1" s="1"/>
  <c r="CG19" i="1" s="1" a="1"/>
  <c r="CG19" i="1" s="1"/>
  <c r="AY19" i="1" a="1"/>
  <c r="AY19" i="1" s="1"/>
  <c r="AX19" i="1" a="1"/>
  <c r="AX19" i="1" s="1"/>
  <c r="CM19" i="1" s="1" a="1"/>
  <c r="CM19" i="1" s="1"/>
  <c r="AW19" i="1" a="1"/>
  <c r="AW19" i="1" s="1"/>
  <c r="BV19" i="1" s="1" a="1"/>
  <c r="BV19" i="1" s="1"/>
  <c r="AV19" i="1" a="1"/>
  <c r="AV19" i="1" s="1"/>
  <c r="AU19" i="1" a="1"/>
  <c r="AU19" i="1" s="1"/>
  <c r="CJ19" i="1" s="1" a="1"/>
  <c r="CJ19" i="1" s="1"/>
  <c r="AT19" i="1" a="1"/>
  <c r="AT19" i="1" s="1"/>
  <c r="AQ19" i="1"/>
  <c r="B19" i="1"/>
  <c r="BK18" i="1" a="1"/>
  <c r="BK18" i="1" s="1"/>
  <c r="AZ18" i="1" a="1"/>
  <c r="AZ18" i="1" s="1"/>
  <c r="AY18" i="1" a="1"/>
  <c r="AY18" i="1" s="1"/>
  <c r="AX18" i="1" a="1"/>
  <c r="AX18" i="1" s="1"/>
  <c r="CM18" i="1" s="1" a="1"/>
  <c r="CM18" i="1" s="1"/>
  <c r="AW18" i="1" a="1"/>
  <c r="AW18" i="1" s="1"/>
  <c r="AV18" i="1" a="1"/>
  <c r="AV18" i="1" s="1"/>
  <c r="CC18" i="1" s="1" a="1"/>
  <c r="CC18" i="1" s="1"/>
  <c r="AU18" i="1" a="1"/>
  <c r="AU18" i="1" s="1"/>
  <c r="AT18" i="1" a="1"/>
  <c r="AT18" i="1" s="1"/>
  <c r="AQ18" i="1"/>
  <c r="L18" i="1" s="1" a="1"/>
  <c r="M18" i="1" a="1"/>
  <c r="M18" i="1"/>
  <c r="L18" i="1"/>
  <c r="L18" i="2" s="1"/>
  <c r="B18" i="1"/>
  <c r="BK17" i="1" a="1"/>
  <c r="BK17" i="1" s="1"/>
  <c r="AZ17" i="1" a="1"/>
  <c r="AZ17" i="1" s="1"/>
  <c r="CG17" i="1" s="1" a="1"/>
  <c r="CG17" i="1" s="1"/>
  <c r="AY17" i="1" a="1"/>
  <c r="AY17" i="1" s="1"/>
  <c r="AX17" i="1" a="1"/>
  <c r="AX17" i="1" s="1"/>
  <c r="CM17" i="1" s="1" a="1"/>
  <c r="CM17" i="1" s="1"/>
  <c r="AW17" i="1" a="1"/>
  <c r="AW17" i="1" s="1"/>
  <c r="AV17" i="1" a="1"/>
  <c r="AV17" i="1" s="1"/>
  <c r="AU17" i="1" a="1"/>
  <c r="AU17" i="1" s="1"/>
  <c r="AT17" i="1" a="1"/>
  <c r="AT17" i="1" s="1"/>
  <c r="CI17" i="1" s="1" a="1"/>
  <c r="CI17" i="1" s="1"/>
  <c r="AQ17" i="1"/>
  <c r="M17" i="1" s="1" a="1"/>
  <c r="M17" i="1" s="1"/>
  <c r="B17" i="1"/>
  <c r="BK16" i="1" a="1"/>
  <c r="BK16" i="1" s="1"/>
  <c r="AZ16" i="1" a="1"/>
  <c r="AZ16" i="1" s="1"/>
  <c r="AY16" i="1" a="1"/>
  <c r="AY16" i="1" s="1"/>
  <c r="AX16" i="1" a="1"/>
  <c r="AX16" i="1" s="1"/>
  <c r="AW16" i="1" a="1"/>
  <c r="AW16" i="1" s="1"/>
  <c r="CL16" i="1" s="1" a="1"/>
  <c r="CL16" i="1" s="1"/>
  <c r="AV16" i="1" a="1"/>
  <c r="AV16" i="1" s="1"/>
  <c r="CK16" i="1" s="1" a="1"/>
  <c r="CK16" i="1" s="1"/>
  <c r="AU16" i="1" a="1"/>
  <c r="AU16" i="1" s="1"/>
  <c r="CJ16" i="1" s="1" a="1"/>
  <c r="CJ16" i="1" s="1"/>
  <c r="AT16" i="1" a="1"/>
  <c r="AT16" i="1" s="1"/>
  <c r="AQ16" i="1"/>
  <c r="M16" i="1" s="1" a="1"/>
  <c r="M16" i="1"/>
  <c r="B16" i="1"/>
  <c r="BK15" i="1" a="1"/>
  <c r="BK15" i="1" s="1"/>
  <c r="AZ15" i="1" a="1"/>
  <c r="AZ15" i="1" s="1"/>
  <c r="AY15" i="1" a="1"/>
  <c r="AY15" i="1" s="1"/>
  <c r="CN15" i="1" s="1" a="1"/>
  <c r="CN15" i="1" s="1"/>
  <c r="AX15" i="1" a="1"/>
  <c r="AX15" i="1" s="1"/>
  <c r="AW15" i="1" a="1"/>
  <c r="AW15" i="1" s="1"/>
  <c r="CL15" i="1" s="1" a="1"/>
  <c r="CL15" i="1" s="1"/>
  <c r="AV15" i="1" a="1"/>
  <c r="AV15" i="1" s="1"/>
  <c r="AU15" i="1" a="1"/>
  <c r="AU15" i="1" s="1"/>
  <c r="AT15" i="1" a="1"/>
  <c r="AT15" i="1" s="1"/>
  <c r="AQ15" i="1"/>
  <c r="M15" i="1" s="1" a="1"/>
  <c r="M15" i="1"/>
  <c r="L15" i="1" a="1"/>
  <c r="L15" i="1" s="1"/>
  <c r="L15" i="2" s="1"/>
  <c r="B15" i="1"/>
  <c r="BK14" i="1" a="1"/>
  <c r="BK14" i="1" s="1"/>
  <c r="AZ14" i="1" a="1"/>
  <c r="AZ14" i="1" s="1"/>
  <c r="AY14" i="1" a="1"/>
  <c r="AY14" i="1" s="1"/>
  <c r="AX14" i="1" a="1"/>
  <c r="AX14" i="1" s="1"/>
  <c r="CM14" i="1" s="1" a="1"/>
  <c r="CM14" i="1" s="1"/>
  <c r="AW14" i="1" a="1"/>
  <c r="AW14" i="1" s="1"/>
  <c r="AV14" i="1" a="1"/>
  <c r="AV14" i="1" s="1"/>
  <c r="CK14" i="1" s="1" a="1"/>
  <c r="CK14" i="1" s="1"/>
  <c r="AU14" i="1" a="1"/>
  <c r="AU14" i="1" s="1"/>
  <c r="CJ14" i="1" s="1" a="1"/>
  <c r="CJ14" i="1" s="1"/>
  <c r="AT14" i="1" a="1"/>
  <c r="AT14" i="1" s="1"/>
  <c r="AQ14" i="1"/>
  <c r="M14" i="1" s="1" a="1"/>
  <c r="M14" i="1" s="1"/>
  <c r="L14" i="1" a="1"/>
  <c r="L14" i="1" s="1"/>
  <c r="L14" i="2" s="1"/>
  <c r="B14" i="1"/>
  <c r="BK13" i="1" a="1"/>
  <c r="BK13" i="1" s="1"/>
  <c r="AW13" i="1" a="1"/>
  <c r="AW13" i="1" s="1"/>
  <c r="CD13" i="1" s="1" a="1"/>
  <c r="CD13" i="1" s="1"/>
  <c r="AV13" i="1" a="1"/>
  <c r="AV13" i="1" s="1"/>
  <c r="AU13" i="1" a="1"/>
  <c r="AU13" i="1" s="1"/>
  <c r="BT13" i="1" s="1" a="1"/>
  <c r="BT13" i="1" s="1"/>
  <c r="AT13" i="1" a="1"/>
  <c r="AT13" i="1" s="1"/>
  <c r="CA13" i="1" s="1" a="1"/>
  <c r="CA13" i="1" s="1"/>
  <c r="L13" i="1" a="1"/>
  <c r="L13" i="1" s="1"/>
  <c r="L13" i="2" s="1"/>
  <c r="M13" i="1" a="1"/>
  <c r="M13" i="1" s="1"/>
  <c r="CO13" i="1" s="1" a="1"/>
  <c r="CO13" i="1" s="1"/>
  <c r="B13" i="1"/>
  <c r="BK12" i="1" a="1"/>
  <c r="BK12" i="1" s="1"/>
  <c r="AZ12" i="1" a="1"/>
  <c r="AZ12" i="1" s="1"/>
  <c r="AY12" i="1" a="1"/>
  <c r="AY12" i="1" s="1"/>
  <c r="CF12" i="1" s="1" a="1"/>
  <c r="CF12" i="1" s="1"/>
  <c r="AX12" i="1" a="1"/>
  <c r="AX12" i="1" s="1"/>
  <c r="AW12" i="1" a="1"/>
  <c r="AW12" i="1" s="1"/>
  <c r="CL12" i="1" s="1" a="1"/>
  <c r="CL12" i="1" s="1"/>
  <c r="AV12" i="1" a="1"/>
  <c r="AV12" i="1" s="1"/>
  <c r="AU12" i="1" a="1"/>
  <c r="AU12" i="1" s="1"/>
  <c r="CJ12" i="1" s="1" a="1"/>
  <c r="CJ12" i="1" s="1"/>
  <c r="AT12" i="1" a="1"/>
  <c r="AT12" i="1" s="1"/>
  <c r="AQ12" i="1"/>
  <c r="B12" i="1"/>
  <c r="BK11" i="1" a="1"/>
  <c r="BK11" i="1" s="1"/>
  <c r="AZ11" i="1" a="1"/>
  <c r="AZ11" i="1" s="1"/>
  <c r="AY11" i="1" a="1"/>
  <c r="AY11" i="1" s="1"/>
  <c r="CN11" i="1" s="1" a="1"/>
  <c r="CN11" i="1" s="1"/>
  <c r="AX11" i="1" a="1"/>
  <c r="AX11" i="1" s="1"/>
  <c r="CM11" i="1" s="1" a="1"/>
  <c r="CM11" i="1" s="1"/>
  <c r="AW11" i="1" a="1"/>
  <c r="AW11" i="1" s="1"/>
  <c r="CL11" i="1" s="1" a="1"/>
  <c r="CL11" i="1" s="1"/>
  <c r="AV11" i="1" a="1"/>
  <c r="AV11" i="1" s="1"/>
  <c r="CK11" i="1" s="1" a="1"/>
  <c r="CK11" i="1" s="1"/>
  <c r="AU11" i="1" a="1"/>
  <c r="AU11" i="1" s="1"/>
  <c r="CJ11" i="1" s="1" a="1"/>
  <c r="CJ11" i="1" s="1"/>
  <c r="AT11" i="1" a="1"/>
  <c r="AT11" i="1" s="1"/>
  <c r="AQ11" i="1"/>
  <c r="M11" i="1" s="1" a="1"/>
  <c r="M11" i="1"/>
  <c r="B11" i="1"/>
  <c r="BK10" i="1" a="1"/>
  <c r="BK10" i="1" s="1"/>
  <c r="AZ10" i="1" a="1"/>
  <c r="AZ10" i="1" s="1"/>
  <c r="CO10" i="1" s="1" a="1"/>
  <c r="CO10" i="1" s="1"/>
  <c r="AY10" i="1" a="1"/>
  <c r="AY10" i="1" s="1"/>
  <c r="CF10" i="1" s="1" a="1"/>
  <c r="CF10" i="1" s="1"/>
  <c r="AX10" i="1" a="1"/>
  <c r="AX10" i="1" s="1"/>
  <c r="CM10" i="1" s="1" a="1"/>
  <c r="CM10" i="1" s="1"/>
  <c r="AW10" i="1" a="1"/>
  <c r="AW10" i="1" s="1"/>
  <c r="CL10" i="1" s="1" a="1"/>
  <c r="CL10" i="1" s="1"/>
  <c r="AV10" i="1" a="1"/>
  <c r="AV10" i="1" s="1"/>
  <c r="AU10" i="1" a="1"/>
  <c r="AU10" i="1" s="1"/>
  <c r="CJ10" i="1" s="1" a="1"/>
  <c r="CJ10" i="1" s="1"/>
  <c r="AT10" i="1" a="1"/>
  <c r="AT10" i="1" s="1"/>
  <c r="AQ10" i="1"/>
  <c r="M10" i="1" s="1" a="1"/>
  <c r="M10" i="1"/>
  <c r="L10" i="1" a="1"/>
  <c r="L10" i="1" s="1"/>
  <c r="L10" i="2" s="1"/>
  <c r="B10" i="1"/>
  <c r="BK9" i="1" a="1"/>
  <c r="BK9" i="1" s="1"/>
  <c r="AZ9" i="1" a="1"/>
  <c r="AZ9" i="1" s="1"/>
  <c r="CO9" i="1" s="1" a="1"/>
  <c r="CO9" i="1" s="1"/>
  <c r="AY9" i="1" a="1"/>
  <c r="AY9" i="1" s="1"/>
  <c r="CN9" i="1" s="1" a="1"/>
  <c r="CN9" i="1" s="1"/>
  <c r="AX9" i="1" a="1"/>
  <c r="AX9" i="1" s="1"/>
  <c r="AW9" i="1" a="1"/>
  <c r="AW9" i="1" s="1"/>
  <c r="CL9" i="1" s="1" a="1"/>
  <c r="CL9" i="1" s="1"/>
  <c r="AV9" i="1" a="1"/>
  <c r="AV9" i="1" s="1"/>
  <c r="AU9" i="1" a="1"/>
  <c r="AU9" i="1" s="1"/>
  <c r="CB9" i="1" s="1" a="1"/>
  <c r="CB9" i="1" s="1"/>
  <c r="AT9" i="1" a="1"/>
  <c r="AT9" i="1" s="1"/>
  <c r="CI9" i="1" s="1" a="1"/>
  <c r="CI9" i="1" s="1"/>
  <c r="AQ9" i="1"/>
  <c r="M9" i="1" s="1" a="1"/>
  <c r="M9" i="1"/>
  <c r="L9" i="1" a="1"/>
  <c r="L9" i="1"/>
  <c r="L9" i="2" s="1"/>
  <c r="B9" i="1"/>
  <c r="BK8" i="1" a="1"/>
  <c r="BK8" i="1" s="1"/>
  <c r="AZ8" i="1" a="1"/>
  <c r="AZ8" i="1" s="1"/>
  <c r="AY8" i="1" a="1"/>
  <c r="AY8" i="1" s="1"/>
  <c r="CN8" i="1" s="1" a="1"/>
  <c r="CN8" i="1" s="1"/>
  <c r="AX8" i="1" a="1"/>
  <c r="AX8" i="1" s="1"/>
  <c r="AW8" i="1" a="1"/>
  <c r="AW8" i="1" s="1"/>
  <c r="CL8" i="1" s="1" a="1"/>
  <c r="CL8" i="1" s="1"/>
  <c r="AV8" i="1" a="1"/>
  <c r="AV8" i="1" s="1"/>
  <c r="CK8" i="1" s="1" a="1"/>
  <c r="CK8" i="1" s="1"/>
  <c r="AU8" i="1" a="1"/>
  <c r="AU8" i="1" s="1"/>
  <c r="AT8" i="1" a="1"/>
  <c r="AT8" i="1" s="1"/>
  <c r="CI8" i="1" s="1" a="1"/>
  <c r="CI8" i="1" s="1"/>
  <c r="AQ8" i="1"/>
  <c r="M8" i="1" s="1" a="1"/>
  <c r="M8" i="1" s="1"/>
  <c r="B8" i="1"/>
  <c r="BK7" i="1" a="1"/>
  <c r="BK7" i="1" s="1"/>
  <c r="BA7" i="1" a="1"/>
  <c r="BA7" i="1" s="1"/>
  <c r="CP7" i="1" s="1" a="1"/>
  <c r="CP7" i="1" s="1"/>
  <c r="AZ7" i="1" a="1"/>
  <c r="AZ7" i="1" s="1"/>
  <c r="AY7" i="1" a="1"/>
  <c r="AY7" i="1" s="1"/>
  <c r="CN7" i="1" s="1" a="1"/>
  <c r="CN7" i="1" s="1"/>
  <c r="AX7" i="1" a="1"/>
  <c r="AX7" i="1" s="1"/>
  <c r="CM7" i="1" s="1" a="1"/>
  <c r="CM7" i="1" s="1"/>
  <c r="AW7" i="1" a="1"/>
  <c r="AW7" i="1" s="1"/>
  <c r="CL7" i="1" s="1" a="1"/>
  <c r="CL7" i="1" s="1"/>
  <c r="AV7" i="1" a="1"/>
  <c r="AV7" i="1" s="1"/>
  <c r="CK7" i="1" s="1" a="1"/>
  <c r="CK7" i="1" s="1"/>
  <c r="AU7" i="1" a="1"/>
  <c r="AU7" i="1" s="1"/>
  <c r="CJ7" i="1" s="1" a="1"/>
  <c r="CJ7" i="1" s="1"/>
  <c r="AT7" i="1" a="1"/>
  <c r="AT7" i="1" s="1"/>
  <c r="CI7" i="1" s="1" a="1"/>
  <c r="CI7" i="1" s="1"/>
  <c r="AQ7" i="1"/>
  <c r="M7" i="1" s="1" a="1"/>
  <c r="M7" i="1"/>
  <c r="B7" i="1"/>
  <c r="BK6" i="1" a="1"/>
  <c r="BK6" i="1" s="1"/>
  <c r="AZ6" i="1" a="1"/>
  <c r="AZ6" i="1" s="1"/>
  <c r="AY6" i="1" a="1"/>
  <c r="AY6" i="1" s="1"/>
  <c r="AX6" i="1" a="1"/>
  <c r="AX6" i="1" s="1"/>
  <c r="CM6" i="1" s="1" a="1"/>
  <c r="CM6" i="1" s="1"/>
  <c r="AW6" i="1" a="1"/>
  <c r="AW6" i="1" s="1"/>
  <c r="CL6" i="1" s="1" a="1"/>
  <c r="CL6" i="1" s="1"/>
  <c r="AV6" i="1" a="1"/>
  <c r="AV6" i="1" s="1"/>
  <c r="CK6" i="1" s="1" a="1"/>
  <c r="CK6" i="1" s="1"/>
  <c r="AU6" i="1" a="1"/>
  <c r="AU6" i="1" s="1"/>
  <c r="CJ6" i="1" s="1" a="1"/>
  <c r="CJ6" i="1" s="1"/>
  <c r="AT6" i="1" a="1"/>
  <c r="AT6" i="1" s="1"/>
  <c r="CA6" i="1" s="1" a="1"/>
  <c r="CA6" i="1" s="1"/>
  <c r="AQ6" i="1"/>
  <c r="L6" i="1" s="1" a="1"/>
  <c r="L6" i="1" s="1"/>
  <c r="L6" i="2" s="1"/>
  <c r="M6" i="1" a="1"/>
  <c r="M6" i="1" s="1"/>
  <c r="B6" i="1"/>
  <c r="I8" i="4"/>
  <c r="V17" i="7"/>
  <c r="W7" i="7"/>
  <c r="M6" i="7"/>
  <c r="W6" i="7"/>
  <c r="W14" i="7"/>
  <c r="L5" i="7"/>
  <c r="V15" i="7"/>
  <c r="W15" i="7"/>
  <c r="V6" i="7"/>
  <c r="M5" i="7"/>
  <c r="V14" i="7"/>
  <c r="V5" i="7"/>
  <c r="W17" i="7"/>
  <c r="V16" i="7"/>
  <c r="W9" i="7"/>
  <c r="W16" i="7"/>
  <c r="V8" i="7"/>
  <c r="L6" i="7"/>
  <c r="V7" i="7"/>
  <c r="V18" i="7"/>
  <c r="V9" i="7"/>
  <c r="W8" i="7"/>
  <c r="W5" i="7"/>
  <c r="W18" i="7"/>
  <c r="BW18" i="1" l="1" a="1"/>
  <c r="BW18" i="1" s="1"/>
  <c r="BX16" i="1" a="1"/>
  <c r="BX16" i="1" s="1"/>
  <c r="CN6" i="1" a="1"/>
  <c r="CN6" i="1" s="1"/>
  <c r="BT8" i="1" a="1"/>
  <c r="BT8" i="1" s="1"/>
  <c r="CJ8" i="1" a="1"/>
  <c r="CJ8" i="1" s="1"/>
  <c r="CN16" i="1" a="1"/>
  <c r="CN16" i="1" s="1"/>
  <c r="CF16" i="1" a="1"/>
  <c r="CF16" i="1" s="1"/>
  <c r="CI19" i="1" a="1"/>
  <c r="CI19" i="1" s="1"/>
  <c r="BS19" i="1" a="1"/>
  <c r="BS19" i="1" s="1"/>
  <c r="CM20" i="1" a="1"/>
  <c r="CM20" i="1" s="1"/>
  <c r="CO20" i="1" a="1"/>
  <c r="CO20" i="1" s="1"/>
  <c r="CD29" i="1" a="1"/>
  <c r="CD29" i="1" s="1"/>
  <c r="BV29" i="1" a="1"/>
  <c r="BV29" i="1" s="1"/>
  <c r="CP30" i="1" a="1"/>
  <c r="CP30" i="1" s="1"/>
  <c r="CO33" i="1" a="1"/>
  <c r="CO33" i="1" s="1"/>
  <c r="CB8" i="1" a="1"/>
  <c r="CB8" i="1" s="1"/>
  <c r="BX18" i="1" a="1"/>
  <c r="BX18" i="1" s="1"/>
  <c r="CN18" i="1" a="1"/>
  <c r="CN18" i="1" s="1"/>
  <c r="CG21" i="1" a="1"/>
  <c r="CG21" i="1" s="1"/>
  <c r="BU24" i="1" a="1"/>
  <c r="BU24" i="1" s="1"/>
  <c r="CB14" i="1" a="1"/>
  <c r="CB14" i="1" s="1"/>
  <c r="BV12" i="1" a="1"/>
  <c r="BV12" i="1" s="1"/>
  <c r="BY19" i="1" a="1"/>
  <c r="BY19" i="1" s="1"/>
  <c r="CD12" i="1" a="1"/>
  <c r="CD12" i="1" s="1"/>
  <c r="CE18" i="1" a="1"/>
  <c r="CE18" i="1" s="1"/>
  <c r="CO19" i="1" a="1"/>
  <c r="CO19" i="1" s="1"/>
  <c r="BT25" i="1" a="1"/>
  <c r="BT25" i="1" s="1"/>
  <c r="CM9" i="1" a="1"/>
  <c r="CM9" i="1" s="1"/>
  <c r="BW9" i="1" a="1"/>
  <c r="BW9" i="1" s="1"/>
  <c r="CE9" i="1" a="1"/>
  <c r="CE9" i="1" s="1"/>
  <c r="CP28" i="1" a="1"/>
  <c r="CP28" i="1" s="1"/>
  <c r="CH28" i="1" a="1"/>
  <c r="CH28" i="1" s="1"/>
  <c r="CL28" i="1" a="1"/>
  <c r="CL28" i="1" s="1"/>
  <c r="CD28" i="1" a="1"/>
  <c r="CD28" i="1" s="1"/>
  <c r="BW34" i="1" a="1"/>
  <c r="BW34" i="1" s="1"/>
  <c r="CE34" i="1" a="1"/>
  <c r="CE34" i="1" s="1"/>
  <c r="CM34" i="1" a="1"/>
  <c r="CM34" i="1" s="1"/>
  <c r="CO8" i="1" a="1"/>
  <c r="CO8" i="1" s="1"/>
  <c r="CG8" i="1" a="1"/>
  <c r="CG8" i="1" s="1"/>
  <c r="H7" i="5" s="1" a="1"/>
  <c r="H7" i="5" s="1"/>
  <c r="N7" i="5" s="1"/>
  <c r="BY8" i="1" a="1"/>
  <c r="BY8" i="1" s="1"/>
  <c r="CP32" i="1" a="1"/>
  <c r="CP32" i="1" s="1"/>
  <c r="CH32" i="1" a="1"/>
  <c r="CH32" i="1" s="1"/>
  <c r="BZ32" i="1" a="1"/>
  <c r="BZ32" i="1" s="1"/>
  <c r="CK34" i="1" a="1"/>
  <c r="CK34" i="1" s="1"/>
  <c r="BU34" i="1" a="1"/>
  <c r="BU34" i="1" s="1"/>
  <c r="CC34" i="1" a="1"/>
  <c r="CC34" i="1" s="1"/>
  <c r="CI11" i="1" a="1"/>
  <c r="CI11" i="1" s="1"/>
  <c r="CA11" i="1" a="1"/>
  <c r="CA11" i="1" s="1"/>
  <c r="BS11" i="1" a="1"/>
  <c r="BS11" i="1" s="1"/>
  <c r="BS6" i="1" a="1"/>
  <c r="BS6" i="1" s="1"/>
  <c r="CI6" i="1" a="1"/>
  <c r="CI6" i="1" s="1"/>
  <c r="BV7" i="1" a="1"/>
  <c r="BV7" i="1" s="1"/>
  <c r="CD7" i="1" a="1"/>
  <c r="CD7" i="1" s="1"/>
  <c r="CN10" i="1" a="1"/>
  <c r="CN10" i="1" s="1"/>
  <c r="CI13" i="1" a="1"/>
  <c r="CI13" i="1" s="1"/>
  <c r="BT14" i="1" a="1"/>
  <c r="BT14" i="1" s="1"/>
  <c r="CD16" i="1" a="1"/>
  <c r="CD16" i="1" s="1"/>
  <c r="CO17" i="1" a="1"/>
  <c r="CO17" i="1" s="1"/>
  <c r="BU18" i="1" a="1"/>
  <c r="BU18" i="1" s="1"/>
  <c r="CF18" i="1" a="1"/>
  <c r="CF18" i="1" s="1"/>
  <c r="CA19" i="1" a="1"/>
  <c r="CA19" i="1" s="1"/>
  <c r="CL19" i="1" a="1"/>
  <c r="CL19" i="1" s="1"/>
  <c r="BU20" i="1" a="1"/>
  <c r="BU20" i="1" s="1"/>
  <c r="CC22" i="1" a="1"/>
  <c r="CC22" i="1" s="1"/>
  <c r="BY24" i="1" a="1"/>
  <c r="BY24" i="1" s="1"/>
  <c r="CG35" i="1" a="1"/>
  <c r="CG35" i="1" s="1"/>
  <c r="CC6" i="1" a="1"/>
  <c r="CC6" i="1" s="1"/>
  <c r="BU6" i="1" a="1"/>
  <c r="BU6" i="1" s="1"/>
  <c r="BX7" i="1" a="1"/>
  <c r="BX7" i="1" s="1"/>
  <c r="CF7" i="1" a="1"/>
  <c r="CF7" i="1" s="1"/>
  <c r="BT9" i="1" a="1"/>
  <c r="BT9" i="1" s="1"/>
  <c r="CJ9" i="1" a="1"/>
  <c r="CJ9" i="1" s="1"/>
  <c r="BV11" i="1" a="1"/>
  <c r="BV11" i="1" s="1"/>
  <c r="CD11" i="1" a="1"/>
  <c r="CD11" i="1" s="1"/>
  <c r="BS13" i="1" a="1"/>
  <c r="BS13" i="1" s="1"/>
  <c r="CK18" i="1" a="1"/>
  <c r="CK18" i="1" s="1"/>
  <c r="CD19" i="1" a="1"/>
  <c r="CD19" i="1" s="1"/>
  <c r="CC20" i="1" a="1"/>
  <c r="CC20" i="1" s="1"/>
  <c r="CK22" i="1" a="1"/>
  <c r="CK22" i="1" s="1"/>
  <c r="CO35" i="1" a="1"/>
  <c r="CO35" i="1" s="1"/>
  <c r="BS7" i="1" a="1"/>
  <c r="BS7" i="1" s="1"/>
  <c r="CA7" i="1" a="1"/>
  <c r="CA7" i="1" s="1"/>
  <c r="BV8" i="1" a="1"/>
  <c r="BV8" i="1" s="1"/>
  <c r="CD8" i="1" a="1"/>
  <c r="CD8" i="1" s="1"/>
  <c r="BX11" i="1" a="1"/>
  <c r="BX11" i="1" s="1"/>
  <c r="CF11" i="1" a="1"/>
  <c r="CF11" i="1" s="1"/>
  <c r="BV13" i="1" a="1"/>
  <c r="BV13" i="1" s="1"/>
  <c r="CJ13" i="1" a="1"/>
  <c r="CJ13" i="1" s="1"/>
  <c r="CC14" i="1" a="1"/>
  <c r="CC14" i="1" s="1"/>
  <c r="CF15" i="1" a="1"/>
  <c r="CF15" i="1" s="1"/>
  <c r="BV16" i="1" a="1"/>
  <c r="BV16" i="1" s="1"/>
  <c r="CE14" i="1" a="1"/>
  <c r="CE14" i="1" s="1"/>
  <c r="CL27" i="1" a="1"/>
  <c r="CL27" i="1" s="1"/>
  <c r="O6" i="7"/>
  <c r="N6" i="7"/>
  <c r="Y8" i="7"/>
  <c r="X8" i="7"/>
  <c r="Y9" i="7"/>
  <c r="X9" i="7"/>
  <c r="X7" i="7"/>
  <c r="Y7" i="7"/>
  <c r="X16" i="7"/>
  <c r="Y16" i="7"/>
  <c r="X18" i="7"/>
  <c r="Y18" i="7"/>
  <c r="Y5" i="7"/>
  <c r="X5" i="7"/>
  <c r="Y6" i="7"/>
  <c r="X6" i="7"/>
  <c r="Y15" i="7"/>
  <c r="X15" i="7"/>
  <c r="Y14" i="7"/>
  <c r="X14" i="7"/>
  <c r="Y17" i="7"/>
  <c r="X17" i="7"/>
  <c r="O5" i="7"/>
  <c r="N5" i="7"/>
  <c r="CK9" i="1" a="1"/>
  <c r="CK9" i="1" s="1"/>
  <c r="CC9" i="1" a="1"/>
  <c r="CC9" i="1" s="1"/>
  <c r="BU9" i="1" a="1"/>
  <c r="BU9" i="1" s="1"/>
  <c r="CK10" i="1" a="1"/>
  <c r="CK10" i="1" s="1"/>
  <c r="CC10" i="1" a="1"/>
  <c r="CC10" i="1" s="1"/>
  <c r="BU10" i="1" a="1"/>
  <c r="BU10" i="1" s="1"/>
  <c r="CO11" i="1" a="1"/>
  <c r="CO11" i="1" s="1"/>
  <c r="CG11" i="1" a="1"/>
  <c r="CG11" i="1" s="1"/>
  <c r="BY11" i="1" a="1"/>
  <c r="BY11" i="1" s="1"/>
  <c r="F10" i="5" s="1" a="1"/>
  <c r="F10" i="5" s="1"/>
  <c r="CO12" i="1" a="1"/>
  <c r="CO12" i="1" s="1"/>
  <c r="CG12" i="1" a="1"/>
  <c r="CG12" i="1" s="1"/>
  <c r="BY12" i="1" a="1"/>
  <c r="BY12" i="1" s="1"/>
  <c r="CO7" i="1" a="1"/>
  <c r="CO7" i="1" s="1"/>
  <c r="BY7" i="1" a="1"/>
  <c r="BY7" i="1" s="1"/>
  <c r="F6" i="5" s="1" a="1"/>
  <c r="F6" i="5" s="1"/>
  <c r="CG7" i="1" a="1"/>
  <c r="CG7" i="1" s="1"/>
  <c r="CM8" i="1" a="1"/>
  <c r="CM8" i="1" s="1"/>
  <c r="CE8" i="1" a="1"/>
  <c r="CE8" i="1" s="1"/>
  <c r="BW8" i="1" a="1"/>
  <c r="BW8" i="1" s="1"/>
  <c r="E5" i="5"/>
  <c r="M6" i="2"/>
  <c r="CO6" i="1" a="1"/>
  <c r="CO6" i="1" s="1"/>
  <c r="J5" i="5" s="1" a="1"/>
  <c r="J5" i="5" s="1"/>
  <c r="J7" i="5" a="1"/>
  <c r="J7" i="5" s="1"/>
  <c r="P7" i="5" s="1"/>
  <c r="E7" i="5"/>
  <c r="F7" i="5" a="1"/>
  <c r="F7" i="5" s="1"/>
  <c r="K7" i="5"/>
  <c r="M8" i="2"/>
  <c r="CA10" i="1" a="1"/>
  <c r="CA10" i="1" s="1"/>
  <c r="BS10" i="1" a="1"/>
  <c r="BS10" i="1" s="1"/>
  <c r="CI10" i="1" a="1"/>
  <c r="CI10" i="1" s="1"/>
  <c r="CE12" i="1" a="1"/>
  <c r="CE12" i="1" s="1"/>
  <c r="BW12" i="1" a="1"/>
  <c r="BW12" i="1" s="1"/>
  <c r="CM12" i="1" a="1"/>
  <c r="CM12" i="1" s="1"/>
  <c r="J10" i="5" a="1"/>
  <c r="J10" i="5" s="1"/>
  <c r="P10" i="5" s="1"/>
  <c r="E10" i="5"/>
  <c r="K10" i="5"/>
  <c r="H10" i="5" a="1"/>
  <c r="H10" i="5" s="1"/>
  <c r="N10" i="5" s="1"/>
  <c r="O10" i="5" s="1"/>
  <c r="M11" i="2"/>
  <c r="CK13" i="1" a="1"/>
  <c r="CK13" i="1" s="1"/>
  <c r="CC13" i="1" a="1"/>
  <c r="CC13" i="1" s="1"/>
  <c r="BU13" i="1" a="1"/>
  <c r="BU13" i="1" s="1"/>
  <c r="CN14" i="1" a="1"/>
  <c r="CN14" i="1" s="1"/>
  <c r="CF14" i="1" a="1"/>
  <c r="CF14" i="1" s="1"/>
  <c r="BX14" i="1" a="1"/>
  <c r="BX14" i="1" s="1"/>
  <c r="CO15" i="1" a="1"/>
  <c r="CO15" i="1" s="1"/>
  <c r="CG15" i="1" a="1"/>
  <c r="CG15" i="1" s="1"/>
  <c r="BY15" i="1" a="1"/>
  <c r="BY15" i="1" s="1"/>
  <c r="BA8" i="1" a="1"/>
  <c r="BA8" i="1" s="1"/>
  <c r="BA12" i="1" a="1"/>
  <c r="BA12" i="1" s="1"/>
  <c r="M12" i="1" a="1"/>
  <c r="M12" i="1" s="1"/>
  <c r="J12" i="5" a="1"/>
  <c r="J12" i="5" s="1"/>
  <c r="P12" i="5" s="1"/>
  <c r="E12" i="5"/>
  <c r="M13" i="2"/>
  <c r="CN13" i="1" a="1"/>
  <c r="CN13" i="1" s="1"/>
  <c r="CF13" i="1" a="1"/>
  <c r="CF13" i="1" s="1"/>
  <c r="BX13" i="1" a="1"/>
  <c r="BX13" i="1" s="1"/>
  <c r="BX6" i="1" a="1"/>
  <c r="BX6" i="1" s="1"/>
  <c r="CF6" i="1" a="1"/>
  <c r="CF6" i="1" s="1"/>
  <c r="J9" i="5" a="1"/>
  <c r="J9" i="5" s="1"/>
  <c r="P9" i="5" s="1"/>
  <c r="E9" i="5"/>
  <c r="M10" i="2"/>
  <c r="CO14" i="1" a="1"/>
  <c r="CO14" i="1" s="1"/>
  <c r="CG14" i="1" a="1"/>
  <c r="CG14" i="1" s="1"/>
  <c r="BY14" i="1" a="1"/>
  <c r="BY14" i="1" s="1"/>
  <c r="F13" i="5" s="1" a="1"/>
  <c r="F13" i="5" s="1"/>
  <c r="J6" i="5" a="1"/>
  <c r="J6" i="5" s="1"/>
  <c r="P6" i="5" s="1"/>
  <c r="H6" i="5" a="1"/>
  <c r="H6" i="5" s="1"/>
  <c r="N6" i="5" s="1"/>
  <c r="E6" i="5"/>
  <c r="M7" i="2"/>
  <c r="BA11" i="1" a="1"/>
  <c r="BA11" i="1" s="1"/>
  <c r="BW13" i="1" a="1"/>
  <c r="BW13" i="1" s="1"/>
  <c r="BV6" i="1" a="1"/>
  <c r="BV6" i="1" s="1"/>
  <c r="BY6" i="1" a="1"/>
  <c r="BY6" i="1" s="1"/>
  <c r="F5" i="5" s="1" a="1"/>
  <c r="F5" i="5" s="1"/>
  <c r="CD6" i="1" a="1"/>
  <c r="CD6" i="1" s="1"/>
  <c r="CG6" i="1" a="1"/>
  <c r="CG6" i="1" s="1"/>
  <c r="H5" i="5" s="1" a="1"/>
  <c r="H5" i="5" s="1"/>
  <c r="BT7" i="1" a="1"/>
  <c r="BT7" i="1" s="1"/>
  <c r="BW7" i="1" a="1"/>
  <c r="BW7" i="1" s="1"/>
  <c r="CB7" i="1" a="1"/>
  <c r="CB7" i="1" s="1"/>
  <c r="CE7" i="1" a="1"/>
  <c r="CE7" i="1" s="1"/>
  <c r="L8" i="1" a="1"/>
  <c r="L8" i="1" s="1"/>
  <c r="L8" i="2" s="1"/>
  <c r="BU8" i="1" a="1"/>
  <c r="BU8" i="1" s="1"/>
  <c r="CC8" i="1" a="1"/>
  <c r="CC8" i="1" s="1"/>
  <c r="J8" i="5" a="1"/>
  <c r="J8" i="5" s="1"/>
  <c r="P8" i="5" s="1"/>
  <c r="E8" i="5"/>
  <c r="M9" i="2"/>
  <c r="BS9" i="1" a="1"/>
  <c r="BS9" i="1" s="1"/>
  <c r="BX9" i="1" a="1"/>
  <c r="BX9" i="1" s="1"/>
  <c r="CA9" i="1" a="1"/>
  <c r="CA9" i="1" s="1"/>
  <c r="CF9" i="1" a="1"/>
  <c r="CF9" i="1" s="1"/>
  <c r="BA10" i="1" a="1"/>
  <c r="BA10" i="1" s="1"/>
  <c r="BV10" i="1" a="1"/>
  <c r="BV10" i="1" s="1"/>
  <c r="BY10" i="1" a="1"/>
  <c r="BY10" i="1" s="1"/>
  <c r="F9" i="5" s="1" a="1"/>
  <c r="F9" i="5" s="1"/>
  <c r="CD10" i="1" a="1"/>
  <c r="CD10" i="1" s="1"/>
  <c r="CG10" i="1" a="1"/>
  <c r="CG10" i="1" s="1"/>
  <c r="H9" i="5" s="1" a="1"/>
  <c r="H9" i="5" s="1"/>
  <c r="BT11" i="1" a="1"/>
  <c r="BT11" i="1" s="1"/>
  <c r="BW11" i="1" a="1"/>
  <c r="BW11" i="1" s="1"/>
  <c r="CB11" i="1" a="1"/>
  <c r="CB11" i="1" s="1"/>
  <c r="CE11" i="1" a="1"/>
  <c r="CE11" i="1" s="1"/>
  <c r="L12" i="1" a="1"/>
  <c r="L12" i="1" s="1"/>
  <c r="L12" i="2" s="1"/>
  <c r="BA13" i="1" a="1"/>
  <c r="BA13" i="1" s="1"/>
  <c r="BY13" i="1" a="1"/>
  <c r="BY13" i="1" s="1"/>
  <c r="F12" i="5" s="1" a="1"/>
  <c r="F12" i="5" s="1"/>
  <c r="CB13" i="1" a="1"/>
  <c r="CB13" i="1" s="1"/>
  <c r="CL13" i="1" a="1"/>
  <c r="CL13" i="1" s="1"/>
  <c r="CI14" i="1" a="1"/>
  <c r="CI14" i="1" s="1"/>
  <c r="CA14" i="1" a="1"/>
  <c r="CA14" i="1" s="1"/>
  <c r="BS14" i="1" a="1"/>
  <c r="BS14" i="1" s="1"/>
  <c r="CL14" i="1" a="1"/>
  <c r="CL14" i="1" s="1"/>
  <c r="CD14" i="1" a="1"/>
  <c r="CD14" i="1" s="1"/>
  <c r="BV14" i="1" a="1"/>
  <c r="BV14" i="1" s="1"/>
  <c r="BU14" i="1" a="1"/>
  <c r="BU14" i="1" s="1"/>
  <c r="CJ15" i="1" a="1"/>
  <c r="CJ15" i="1" s="1"/>
  <c r="CB15" i="1" a="1"/>
  <c r="CB15" i="1" s="1"/>
  <c r="BT15" i="1" a="1"/>
  <c r="BT15" i="1" s="1"/>
  <c r="H16" i="5" a="1"/>
  <c r="H16" i="5" s="1"/>
  <c r="N16" i="5" s="1"/>
  <c r="J16" i="5" a="1"/>
  <c r="J16" i="5" s="1"/>
  <c r="P16" i="5" s="1"/>
  <c r="E16" i="5"/>
  <c r="M17" i="2"/>
  <c r="CK17" i="1" a="1"/>
  <c r="CK17" i="1" s="1"/>
  <c r="CC17" i="1" a="1"/>
  <c r="CC17" i="1" s="1"/>
  <c r="BU17" i="1" a="1"/>
  <c r="BU17" i="1" s="1"/>
  <c r="B5" i="5"/>
  <c r="B6" i="2"/>
  <c r="CC12" i="1" a="1"/>
  <c r="CC12" i="1" s="1"/>
  <c r="BU12" i="1" a="1"/>
  <c r="BU12" i="1" s="1"/>
  <c r="CE13" i="1" a="1"/>
  <c r="CE13" i="1" s="1"/>
  <c r="BA6" i="1" a="1"/>
  <c r="BA6" i="1" s="1"/>
  <c r="BX10" i="1" a="1"/>
  <c r="BX10" i="1" s="1"/>
  <c r="CA12" i="1" a="1"/>
  <c r="CA12" i="1" s="1"/>
  <c r="BS12" i="1" a="1"/>
  <c r="BS12" i="1" s="1"/>
  <c r="CI12" i="1" a="1"/>
  <c r="CI12" i="1" s="1"/>
  <c r="CN12" i="1" a="1"/>
  <c r="CN12" i="1" s="1"/>
  <c r="CG13" i="1" a="1"/>
  <c r="CG13" i="1" s="1"/>
  <c r="H12" i="5" s="1" a="1"/>
  <c r="H12" i="5" s="1"/>
  <c r="H13" i="5" a="1"/>
  <c r="H13" i="5" s="1"/>
  <c r="N13" i="5" s="1"/>
  <c r="J13" i="5" a="1"/>
  <c r="J13" i="5" s="1"/>
  <c r="P13" i="5" s="1"/>
  <c r="E13" i="5"/>
  <c r="M14" i="2"/>
  <c r="CI15" i="1" a="1"/>
  <c r="CI15" i="1" s="1"/>
  <c r="CA15" i="1" a="1"/>
  <c r="CA15" i="1" s="1"/>
  <c r="BS15" i="1" a="1"/>
  <c r="BS15" i="1" s="1"/>
  <c r="CM15" i="1" a="1"/>
  <c r="CM15" i="1" s="1"/>
  <c r="CE15" i="1" a="1"/>
  <c r="CE15" i="1" s="1"/>
  <c r="BW15" i="1" a="1"/>
  <c r="BW15" i="1" s="1"/>
  <c r="BX15" i="1" a="1"/>
  <c r="BX15" i="1" s="1"/>
  <c r="BT6" i="1" a="1"/>
  <c r="BT6" i="1" s="1"/>
  <c r="BW6" i="1" a="1"/>
  <c r="BW6" i="1" s="1"/>
  <c r="CB6" i="1" a="1"/>
  <c r="CB6" i="1" s="1"/>
  <c r="CE6" i="1" a="1"/>
  <c r="CE6" i="1" s="1"/>
  <c r="L7" i="1" a="1"/>
  <c r="L7" i="1" s="1"/>
  <c r="L7" i="2" s="1"/>
  <c r="BU7" i="1" a="1"/>
  <c r="BU7" i="1" s="1"/>
  <c r="BZ7" i="1" a="1"/>
  <c r="BZ7" i="1" s="1"/>
  <c r="CC7" i="1" a="1"/>
  <c r="CC7" i="1" s="1"/>
  <c r="CH7" i="1" a="1"/>
  <c r="CH7" i="1" s="1"/>
  <c r="BS8" i="1" a="1"/>
  <c r="BS8" i="1" s="1"/>
  <c r="BX8" i="1" a="1"/>
  <c r="BX8" i="1" s="1"/>
  <c r="CA8" i="1" a="1"/>
  <c r="CA8" i="1" s="1"/>
  <c r="CF8" i="1" a="1"/>
  <c r="CF8" i="1" s="1"/>
  <c r="BA9" i="1" a="1"/>
  <c r="BA9" i="1" s="1"/>
  <c r="BV9" i="1" a="1"/>
  <c r="BV9" i="1" s="1"/>
  <c r="BY9" i="1" a="1"/>
  <c r="BY9" i="1" s="1"/>
  <c r="F8" i="5" s="1" a="1"/>
  <c r="F8" i="5" s="1"/>
  <c r="CD9" i="1" a="1"/>
  <c r="CD9" i="1" s="1"/>
  <c r="CG9" i="1" a="1"/>
  <c r="CG9" i="1" s="1"/>
  <c r="H8" i="5" s="1" a="1"/>
  <c r="H8" i="5" s="1"/>
  <c r="BT10" i="1" a="1"/>
  <c r="BT10" i="1" s="1"/>
  <c r="BW10" i="1" a="1"/>
  <c r="BW10" i="1" s="1"/>
  <c r="CB10" i="1" a="1"/>
  <c r="CB10" i="1" s="1"/>
  <c r="CE10" i="1" a="1"/>
  <c r="CE10" i="1" s="1"/>
  <c r="L11" i="1" a="1"/>
  <c r="L11" i="1" s="1"/>
  <c r="L11" i="2" s="1"/>
  <c r="BU11" i="1" a="1"/>
  <c r="BU11" i="1" s="1"/>
  <c r="CC11" i="1" a="1"/>
  <c r="CC11" i="1" s="1"/>
  <c r="BT12" i="1" a="1"/>
  <c r="BT12" i="1" s="1"/>
  <c r="BX12" i="1" a="1"/>
  <c r="BX12" i="1" s="1"/>
  <c r="CB12" i="1" a="1"/>
  <c r="CB12" i="1" s="1"/>
  <c r="CK12" i="1" a="1"/>
  <c r="CK12" i="1" s="1"/>
  <c r="B12" i="5"/>
  <c r="B13" i="2"/>
  <c r="CM13" i="1" a="1"/>
  <c r="CM13" i="1" s="1"/>
  <c r="BW14" i="1" a="1"/>
  <c r="BW14" i="1" s="1"/>
  <c r="J14" i="5" a="1"/>
  <c r="J14" i="5" s="1"/>
  <c r="P14" i="5" s="1"/>
  <c r="E14" i="5"/>
  <c r="F14" i="5" a="1"/>
  <c r="F14" i="5" s="1"/>
  <c r="K14" i="5"/>
  <c r="H14" i="5" a="1"/>
  <c r="H14" i="5" s="1"/>
  <c r="N14" i="5" s="1"/>
  <c r="O14" i="5" s="1"/>
  <c r="M15" i="2"/>
  <c r="CK15" i="1" a="1"/>
  <c r="CK15" i="1" s="1"/>
  <c r="CC15" i="1" a="1"/>
  <c r="CC15" i="1" s="1"/>
  <c r="BU15" i="1" a="1"/>
  <c r="BU15" i="1" s="1"/>
  <c r="CI16" i="1" a="1"/>
  <c r="CI16" i="1" s="1"/>
  <c r="CA16" i="1" a="1"/>
  <c r="CA16" i="1" s="1"/>
  <c r="BS16" i="1" a="1"/>
  <c r="BS16" i="1" s="1"/>
  <c r="CO16" i="1" a="1"/>
  <c r="CO16" i="1" s="1"/>
  <c r="CG16" i="1" a="1"/>
  <c r="CG16" i="1" s="1"/>
  <c r="BY16" i="1" a="1"/>
  <c r="BY16" i="1" s="1"/>
  <c r="BA16" i="1" a="1"/>
  <c r="BA16" i="1" s="1"/>
  <c r="CN17" i="1" a="1"/>
  <c r="CN17" i="1" s="1"/>
  <c r="CF17" i="1" a="1"/>
  <c r="CF17" i="1" s="1"/>
  <c r="BX17" i="1" a="1"/>
  <c r="BX17" i="1" s="1"/>
  <c r="BY17" i="1" a="1"/>
  <c r="BY17" i="1" s="1"/>
  <c r="F16" i="5" s="1" a="1"/>
  <c r="F16" i="5" s="1"/>
  <c r="E17" i="5"/>
  <c r="M18" i="2"/>
  <c r="CJ18" i="1" a="1"/>
  <c r="CJ18" i="1" s="1"/>
  <c r="CB18" i="1" a="1"/>
  <c r="CB18" i="1" s="1"/>
  <c r="BT18" i="1" a="1"/>
  <c r="BT18" i="1" s="1"/>
  <c r="B18" i="5"/>
  <c r="B19" i="2"/>
  <c r="CK19" i="1" a="1"/>
  <c r="CK19" i="1" s="1"/>
  <c r="CC19" i="1" a="1"/>
  <c r="CC19" i="1" s="1"/>
  <c r="BU19" i="1" a="1"/>
  <c r="BU19" i="1" s="1"/>
  <c r="CN19" i="1" a="1"/>
  <c r="CN19" i="1" s="1"/>
  <c r="CF19" i="1" a="1"/>
  <c r="CF19" i="1" s="1"/>
  <c r="BX19" i="1" a="1"/>
  <c r="BX19" i="1" s="1"/>
  <c r="CN22" i="1" a="1"/>
  <c r="CN22" i="1" s="1"/>
  <c r="CF22" i="1" a="1"/>
  <c r="CF22" i="1" s="1"/>
  <c r="BX22" i="1" a="1"/>
  <c r="BX22" i="1" s="1"/>
  <c r="B6" i="5"/>
  <c r="B7" i="2"/>
  <c r="B7" i="5"/>
  <c r="B8" i="2"/>
  <c r="B8" i="5"/>
  <c r="B9" i="2"/>
  <c r="B9" i="5"/>
  <c r="B10" i="2"/>
  <c r="B10" i="5"/>
  <c r="B11" i="2"/>
  <c r="B11" i="5"/>
  <c r="B12" i="2"/>
  <c r="BA15" i="1" a="1"/>
  <c r="BA15" i="1" s="1"/>
  <c r="BV15" i="1" a="1"/>
  <c r="BV15" i="1" s="1"/>
  <c r="CD15" i="1" a="1"/>
  <c r="CD15" i="1" s="1"/>
  <c r="BT16" i="1" a="1"/>
  <c r="BT16" i="1" s="1"/>
  <c r="BW16" i="1" a="1"/>
  <c r="BW16" i="1" s="1"/>
  <c r="CB16" i="1" a="1"/>
  <c r="CB16" i="1" s="1"/>
  <c r="CE16" i="1" a="1"/>
  <c r="CE16" i="1" s="1"/>
  <c r="CM16" i="1" a="1"/>
  <c r="CM16" i="1" s="1"/>
  <c r="L17" i="1" a="1"/>
  <c r="L17" i="1" s="1"/>
  <c r="L17" i="2" s="1"/>
  <c r="CL17" i="1" a="1"/>
  <c r="CL17" i="1" s="1"/>
  <c r="CD17" i="1" a="1"/>
  <c r="CD17" i="1" s="1"/>
  <c r="BV17" i="1" a="1"/>
  <c r="BV17" i="1" s="1"/>
  <c r="L19" i="1" a="1"/>
  <c r="L19" i="1" s="1"/>
  <c r="L19" i="2" s="1"/>
  <c r="M19" i="1" a="1"/>
  <c r="M19" i="1" s="1"/>
  <c r="CN20" i="1" a="1"/>
  <c r="CN20" i="1" s="1"/>
  <c r="CF20" i="1" a="1"/>
  <c r="CF20" i="1" s="1"/>
  <c r="BX20" i="1" a="1"/>
  <c r="BX20" i="1" s="1"/>
  <c r="CJ23" i="1" a="1"/>
  <c r="CJ23" i="1" s="1"/>
  <c r="CB23" i="1" a="1"/>
  <c r="CB23" i="1" s="1"/>
  <c r="BT23" i="1" a="1"/>
  <c r="BT23" i="1" s="1"/>
  <c r="BA14" i="1" a="1"/>
  <c r="BA14" i="1" s="1"/>
  <c r="L16" i="1" a="1"/>
  <c r="L16" i="1" s="1"/>
  <c r="L16" i="2" s="1"/>
  <c r="BU16" i="1" a="1"/>
  <c r="BU16" i="1" s="1"/>
  <c r="CC16" i="1" a="1"/>
  <c r="CC16" i="1" s="1"/>
  <c r="CJ17" i="1" a="1"/>
  <c r="CJ17" i="1" s="1"/>
  <c r="CB17" i="1" a="1"/>
  <c r="CB17" i="1" s="1"/>
  <c r="BT17" i="1" a="1"/>
  <c r="BT17" i="1" s="1"/>
  <c r="BS17" i="1" a="1"/>
  <c r="BS17" i="1" s="1"/>
  <c r="BW17" i="1" a="1"/>
  <c r="BW17" i="1" s="1"/>
  <c r="CA17" i="1" a="1"/>
  <c r="CA17" i="1" s="1"/>
  <c r="CE17" i="1" a="1"/>
  <c r="CE17" i="1" s="1"/>
  <c r="BT19" i="1" a="1"/>
  <c r="BT19" i="1" s="1"/>
  <c r="CJ21" i="1" a="1"/>
  <c r="CJ21" i="1" s="1"/>
  <c r="CB21" i="1" a="1"/>
  <c r="CB21" i="1" s="1"/>
  <c r="BT21" i="1" a="1"/>
  <c r="BT21" i="1" s="1"/>
  <c r="CL22" i="1" a="1"/>
  <c r="CL22" i="1" s="1"/>
  <c r="CD22" i="1" a="1"/>
  <c r="CD22" i="1" s="1"/>
  <c r="BV22" i="1" a="1"/>
  <c r="BV22" i="1" s="1"/>
  <c r="H15" i="5" a="1"/>
  <c r="H15" i="5" s="1"/>
  <c r="N15" i="5" s="1"/>
  <c r="J15" i="5" a="1"/>
  <c r="J15" i="5" s="1"/>
  <c r="P15" i="5" s="1"/>
  <c r="E15" i="5"/>
  <c r="F15" i="5" a="1"/>
  <c r="F15" i="5" s="1"/>
  <c r="M16" i="2"/>
  <c r="BA17" i="1" a="1"/>
  <c r="BA17" i="1" s="1"/>
  <c r="CI18" i="1" a="1"/>
  <c r="CI18" i="1" s="1"/>
  <c r="CA18" i="1" a="1"/>
  <c r="CA18" i="1" s="1"/>
  <c r="BS18" i="1" a="1"/>
  <c r="BS18" i="1" s="1"/>
  <c r="CL18" i="1" a="1"/>
  <c r="CL18" i="1" s="1"/>
  <c r="CD18" i="1" a="1"/>
  <c r="CD18" i="1" s="1"/>
  <c r="BV18" i="1" a="1"/>
  <c r="BV18" i="1" s="1"/>
  <c r="CO18" i="1" a="1"/>
  <c r="CO18" i="1" s="1"/>
  <c r="J17" i="5" s="1" a="1"/>
  <c r="J17" i="5" s="1"/>
  <c r="CG18" i="1" a="1"/>
  <c r="CG18" i="1" s="1"/>
  <c r="H17" i="5" s="1" a="1"/>
  <c r="H17" i="5" s="1"/>
  <c r="BY18" i="1" a="1"/>
  <c r="BY18" i="1" s="1"/>
  <c r="F17" i="5" s="1" a="1"/>
  <c r="F17" i="5" s="1"/>
  <c r="CP19" i="1" a="1"/>
  <c r="CP19" i="1" s="1"/>
  <c r="CH19" i="1" a="1"/>
  <c r="CH19" i="1" s="1"/>
  <c r="BZ19" i="1" a="1"/>
  <c r="BZ19" i="1" s="1"/>
  <c r="CB19" i="1" a="1"/>
  <c r="CB19" i="1" s="1"/>
  <c r="CL20" i="1" a="1"/>
  <c r="CL20" i="1" s="1"/>
  <c r="CD20" i="1" a="1"/>
  <c r="CD20" i="1" s="1"/>
  <c r="BV20" i="1" a="1"/>
  <c r="BV20" i="1" s="1"/>
  <c r="BW20" i="1" a="1"/>
  <c r="BW20" i="1" s="1"/>
  <c r="CE20" i="1" a="1"/>
  <c r="CE20" i="1" s="1"/>
  <c r="M21" i="1" a="1"/>
  <c r="M21" i="1" s="1"/>
  <c r="BS21" i="1" a="1"/>
  <c r="BS21" i="1" s="1"/>
  <c r="BV21" i="1" a="1"/>
  <c r="BV21" i="1" s="1"/>
  <c r="CA21" i="1" a="1"/>
  <c r="CA21" i="1" s="1"/>
  <c r="CD21" i="1" a="1"/>
  <c r="CD21" i="1" s="1"/>
  <c r="BW22" i="1" a="1"/>
  <c r="BW22" i="1" s="1"/>
  <c r="CE22" i="1" a="1"/>
  <c r="CE22" i="1" s="1"/>
  <c r="M23" i="1" a="1"/>
  <c r="M23" i="1" s="1"/>
  <c r="BV23" i="1" a="1"/>
  <c r="BV23" i="1" s="1"/>
  <c r="CD23" i="1" a="1"/>
  <c r="CD23" i="1" s="1"/>
  <c r="L24" i="1" a="1"/>
  <c r="L24" i="1" s="1"/>
  <c r="L24" i="2" s="1"/>
  <c r="M24" i="1" a="1"/>
  <c r="M24" i="1" s="1"/>
  <c r="BA24" i="1" a="1"/>
  <c r="BA24" i="1" s="1"/>
  <c r="CC24" i="1" a="1"/>
  <c r="CC24" i="1" s="1"/>
  <c r="CG24" i="1" a="1"/>
  <c r="CG24" i="1" s="1"/>
  <c r="CK25" i="1" a="1"/>
  <c r="CK25" i="1" s="1"/>
  <c r="CC25" i="1" a="1"/>
  <c r="CC25" i="1" s="1"/>
  <c r="BU25" i="1" a="1"/>
  <c r="BU25" i="1" s="1"/>
  <c r="CO25" i="1" a="1"/>
  <c r="CO25" i="1" s="1"/>
  <c r="CG25" i="1" a="1"/>
  <c r="CG25" i="1" s="1"/>
  <c r="BY25" i="1" a="1"/>
  <c r="BY25" i="1" s="1"/>
  <c r="BX25" i="1" a="1"/>
  <c r="BX25" i="1" s="1"/>
  <c r="CF25" i="1" a="1"/>
  <c r="CF25" i="1" s="1"/>
  <c r="CL26" i="1" a="1"/>
  <c r="CL26" i="1" s="1"/>
  <c r="CD26" i="1" a="1"/>
  <c r="CD26" i="1" s="1"/>
  <c r="BV26" i="1" a="1"/>
  <c r="BV26" i="1" s="1"/>
  <c r="CB26" i="1" a="1"/>
  <c r="CB26" i="1" s="1"/>
  <c r="E26" i="5"/>
  <c r="M27" i="2"/>
  <c r="CO27" i="1" a="1"/>
  <c r="CO27" i="1" s="1"/>
  <c r="J26" i="5" s="1" a="1"/>
  <c r="J26" i="5" s="1"/>
  <c r="CG27" i="1" a="1"/>
  <c r="CG27" i="1" s="1"/>
  <c r="H26" i="5" s="1" a="1"/>
  <c r="H26" i="5" s="1"/>
  <c r="BY27" i="1" a="1"/>
  <c r="BY27" i="1" s="1"/>
  <c r="F26" i="5" s="1" a="1"/>
  <c r="F26" i="5" s="1"/>
  <c r="J19" i="5" a="1"/>
  <c r="J19" i="5" s="1"/>
  <c r="P19" i="5" s="1"/>
  <c r="E19" i="5"/>
  <c r="M20" i="2"/>
  <c r="B20" i="5"/>
  <c r="B21" i="2"/>
  <c r="BA21" i="1" a="1"/>
  <c r="BA21" i="1" s="1"/>
  <c r="BY21" i="1" a="1"/>
  <c r="BY21" i="1" s="1"/>
  <c r="J21" i="5" a="1"/>
  <c r="J21" i="5" s="1"/>
  <c r="P21" i="5" s="1"/>
  <c r="E21" i="5"/>
  <c r="M22" i="2"/>
  <c r="B22" i="5"/>
  <c r="B23" i="2"/>
  <c r="BS23" i="1" a="1"/>
  <c r="BS23" i="1" s="1"/>
  <c r="BW23" i="1" a="1"/>
  <c r="BW23" i="1" s="1"/>
  <c r="CA23" i="1" a="1"/>
  <c r="CA23" i="1" s="1"/>
  <c r="CE23" i="1" a="1"/>
  <c r="CE23" i="1" s="1"/>
  <c r="BV24" i="1" a="1"/>
  <c r="BV24" i="1" s="1"/>
  <c r="CD24" i="1" a="1"/>
  <c r="CD24" i="1" s="1"/>
  <c r="L25" i="1" a="1"/>
  <c r="L25" i="1" s="1"/>
  <c r="L25" i="2" s="1"/>
  <c r="BA25" i="1" a="1"/>
  <c r="BA25" i="1" s="1"/>
  <c r="M25" i="1" a="1"/>
  <c r="M25" i="1" s="1"/>
  <c r="CI26" i="1" a="1"/>
  <c r="CI26" i="1" s="1"/>
  <c r="CA26" i="1" a="1"/>
  <c r="CA26" i="1" s="1"/>
  <c r="BS26" i="1" a="1"/>
  <c r="BS26" i="1" s="1"/>
  <c r="CM26" i="1" a="1"/>
  <c r="CM26" i="1" s="1"/>
  <c r="CE26" i="1" a="1"/>
  <c r="CE26" i="1" s="1"/>
  <c r="BW26" i="1" a="1"/>
  <c r="BW26" i="1" s="1"/>
  <c r="BT26" i="1" a="1"/>
  <c r="BT26" i="1" s="1"/>
  <c r="CM27" i="1" a="1"/>
  <c r="CM27" i="1" s="1"/>
  <c r="CE27" i="1" a="1"/>
  <c r="CE27" i="1" s="1"/>
  <c r="BW27" i="1" a="1"/>
  <c r="BW27" i="1" s="1"/>
  <c r="BX27" i="1" a="1"/>
  <c r="BX27" i="1" s="1"/>
  <c r="BW19" i="1" a="1"/>
  <c r="BW19" i="1" s="1"/>
  <c r="CE19" i="1" a="1"/>
  <c r="CE19" i="1" s="1"/>
  <c r="BS20" i="1" a="1"/>
  <c r="BS20" i="1" s="1"/>
  <c r="CA20" i="1" a="1"/>
  <c r="CA20" i="1" s="1"/>
  <c r="BW21" i="1" a="1"/>
  <c r="BW21" i="1" s="1"/>
  <c r="CE21" i="1" a="1"/>
  <c r="CE21" i="1" s="1"/>
  <c r="BS22" i="1" a="1"/>
  <c r="BS22" i="1" s="1"/>
  <c r="CA22" i="1" a="1"/>
  <c r="CA22" i="1" s="1"/>
  <c r="BX23" i="1" a="1"/>
  <c r="BX23" i="1" s="1"/>
  <c r="CF23" i="1" a="1"/>
  <c r="CF23" i="1" s="1"/>
  <c r="BS24" i="1" a="1"/>
  <c r="BS24" i="1" s="1"/>
  <c r="BW24" i="1" a="1"/>
  <c r="BW24" i="1" s="1"/>
  <c r="CA24" i="1" a="1"/>
  <c r="CA24" i="1" s="1"/>
  <c r="CE24" i="1" a="1"/>
  <c r="CE24" i="1" s="1"/>
  <c r="CI25" i="1" a="1"/>
  <c r="CI25" i="1" s="1"/>
  <c r="CA25" i="1" a="1"/>
  <c r="CA25" i="1" s="1"/>
  <c r="BS25" i="1" a="1"/>
  <c r="BS25" i="1" s="1"/>
  <c r="CM25" i="1" a="1"/>
  <c r="CM25" i="1" s="1"/>
  <c r="CE25" i="1" a="1"/>
  <c r="CE25" i="1" s="1"/>
  <c r="BW25" i="1" a="1"/>
  <c r="BW25" i="1" s="1"/>
  <c r="CB25" i="1" a="1"/>
  <c r="CB25" i="1" s="1"/>
  <c r="CN26" i="1" a="1"/>
  <c r="CN26" i="1" s="1"/>
  <c r="CF26" i="1" a="1"/>
  <c r="CF26" i="1" s="1"/>
  <c r="BX26" i="1" a="1"/>
  <c r="BX26" i="1" s="1"/>
  <c r="CP27" i="1" a="1"/>
  <c r="CP27" i="1" s="1"/>
  <c r="CH27" i="1" a="1"/>
  <c r="CH27" i="1" s="1"/>
  <c r="BZ27" i="1" a="1"/>
  <c r="BZ27" i="1" s="1"/>
  <c r="CK27" i="1" a="1"/>
  <c r="CK27" i="1" s="1"/>
  <c r="CC27" i="1" a="1"/>
  <c r="CC27" i="1" s="1"/>
  <c r="BU27" i="1" a="1"/>
  <c r="BU27" i="1" s="1"/>
  <c r="B13" i="5"/>
  <c r="B14" i="2"/>
  <c r="B14" i="5"/>
  <c r="B15" i="2"/>
  <c r="B15" i="5"/>
  <c r="B16" i="2"/>
  <c r="B16" i="5"/>
  <c r="B17" i="2"/>
  <c r="B17" i="5"/>
  <c r="B18" i="2"/>
  <c r="BA18" i="1" a="1"/>
  <c r="BA18" i="1" s="1"/>
  <c r="B19" i="5"/>
  <c r="B20" i="2"/>
  <c r="BA20" i="1" a="1"/>
  <c r="BA20" i="1" s="1"/>
  <c r="BT20" i="1" a="1"/>
  <c r="BT20" i="1" s="1"/>
  <c r="BY20" i="1" a="1"/>
  <c r="BY20" i="1" s="1"/>
  <c r="F19" i="5" s="1" a="1"/>
  <c r="F19" i="5" s="1"/>
  <c r="CB20" i="1" a="1"/>
  <c r="CB20" i="1" s="1"/>
  <c r="CG20" i="1" a="1"/>
  <c r="CG20" i="1" s="1"/>
  <c r="H19" i="5" s="1" a="1"/>
  <c r="H19" i="5" s="1"/>
  <c r="BU21" i="1" a="1"/>
  <c r="BU21" i="1" s="1"/>
  <c r="BX21" i="1" a="1"/>
  <c r="BX21" i="1" s="1"/>
  <c r="CC21" i="1" a="1"/>
  <c r="CC21" i="1" s="1"/>
  <c r="CF21" i="1" a="1"/>
  <c r="CF21" i="1" s="1"/>
  <c r="B21" i="5"/>
  <c r="B22" i="2"/>
  <c r="BA22" i="1" a="1"/>
  <c r="BA22" i="1" s="1"/>
  <c r="BT22" i="1" a="1"/>
  <c r="BT22" i="1" s="1"/>
  <c r="BY22" i="1" a="1"/>
  <c r="BY22" i="1" s="1"/>
  <c r="F21" i="5" s="1" a="1"/>
  <c r="F21" i="5" s="1"/>
  <c r="CB22" i="1" a="1"/>
  <c r="CB22" i="1" s="1"/>
  <c r="CG22" i="1" a="1"/>
  <c r="CG22" i="1" s="1"/>
  <c r="H21" i="5" s="1" a="1"/>
  <c r="H21" i="5" s="1"/>
  <c r="BA23" i="1" a="1"/>
  <c r="BA23" i="1" s="1"/>
  <c r="BU23" i="1" a="1"/>
  <c r="BU23" i="1" s="1"/>
  <c r="BY23" i="1" a="1"/>
  <c r="BY23" i="1" s="1"/>
  <c r="CC23" i="1" a="1"/>
  <c r="CC23" i="1" s="1"/>
  <c r="CG23" i="1" a="1"/>
  <c r="CG23" i="1" s="1"/>
  <c r="BT24" i="1" a="1"/>
  <c r="BT24" i="1" s="1"/>
  <c r="BX24" i="1" a="1"/>
  <c r="BX24" i="1" s="1"/>
  <c r="CB24" i="1" a="1"/>
  <c r="CB24" i="1" s="1"/>
  <c r="CF24" i="1" a="1"/>
  <c r="CF24" i="1" s="1"/>
  <c r="BV25" i="1" a="1"/>
  <c r="BV25" i="1" s="1"/>
  <c r="CD25" i="1" a="1"/>
  <c r="CD25" i="1" s="1"/>
  <c r="CK26" i="1" a="1"/>
  <c r="CK26" i="1" s="1"/>
  <c r="CC26" i="1" a="1"/>
  <c r="CC26" i="1" s="1"/>
  <c r="BU26" i="1" a="1"/>
  <c r="BU26" i="1" s="1"/>
  <c r="CO26" i="1" a="1"/>
  <c r="CO26" i="1" s="1"/>
  <c r="CG26" i="1" a="1"/>
  <c r="CG26" i="1" s="1"/>
  <c r="BY26" i="1" a="1"/>
  <c r="BY26" i="1" s="1"/>
  <c r="CI27" i="1" a="1"/>
  <c r="CI27" i="1" s="1"/>
  <c r="CA27" i="1" a="1"/>
  <c r="CA27" i="1" s="1"/>
  <c r="BS27" i="1" a="1"/>
  <c r="BS27" i="1" s="1"/>
  <c r="B23" i="5"/>
  <c r="B24" i="2"/>
  <c r="B24" i="5"/>
  <c r="B25" i="2"/>
  <c r="B25" i="5"/>
  <c r="B26" i="2"/>
  <c r="M26" i="1" a="1"/>
  <c r="M26" i="1" s="1"/>
  <c r="CJ27" i="1" a="1"/>
  <c r="CJ27" i="1" s="1"/>
  <c r="CB27" i="1" a="1"/>
  <c r="CB27" i="1" s="1"/>
  <c r="BV27" i="1" a="1"/>
  <c r="BV27" i="1" s="1"/>
  <c r="CF27" i="1" a="1"/>
  <c r="CF27" i="1" s="1"/>
  <c r="B27" i="5"/>
  <c r="B28" i="2"/>
  <c r="CI28" i="1" a="1"/>
  <c r="CI28" i="1" s="1"/>
  <c r="CA28" i="1" a="1"/>
  <c r="CA28" i="1" s="1"/>
  <c r="BS28" i="1" a="1"/>
  <c r="BS28" i="1" s="1"/>
  <c r="CK28" i="1" a="1"/>
  <c r="CK28" i="1" s="1"/>
  <c r="CC28" i="1" a="1"/>
  <c r="CC28" i="1" s="1"/>
  <c r="BU28" i="1" a="1"/>
  <c r="BU28" i="1" s="1"/>
  <c r="CM28" i="1" a="1"/>
  <c r="CM28" i="1" s="1"/>
  <c r="CE28" i="1" a="1"/>
  <c r="CE28" i="1" s="1"/>
  <c r="BW28" i="1" a="1"/>
  <c r="BW28" i="1" s="1"/>
  <c r="CO28" i="1" a="1"/>
  <c r="CO28" i="1" s="1"/>
  <c r="CG28" i="1" a="1"/>
  <c r="CG28" i="1" s="1"/>
  <c r="BY28" i="1" a="1"/>
  <c r="BY28" i="1" s="1"/>
  <c r="F27" i="5" s="1" a="1"/>
  <c r="F27" i="5" s="1"/>
  <c r="E28" i="5"/>
  <c r="M29" i="2"/>
  <c r="CJ29" i="1" a="1"/>
  <c r="CJ29" i="1" s="1"/>
  <c r="CB29" i="1" a="1"/>
  <c r="CB29" i="1" s="1"/>
  <c r="BT29" i="1" a="1"/>
  <c r="BT29" i="1" s="1"/>
  <c r="CN29" i="1" a="1"/>
  <c r="CN29" i="1" s="1"/>
  <c r="CF29" i="1" a="1"/>
  <c r="CF29" i="1" s="1"/>
  <c r="BX29" i="1" a="1"/>
  <c r="BX29" i="1" s="1"/>
  <c r="CP29" i="1" a="1"/>
  <c r="CP29" i="1" s="1"/>
  <c r="CH29" i="1" a="1"/>
  <c r="CH29" i="1" s="1"/>
  <c r="BZ29" i="1" a="1"/>
  <c r="BZ29" i="1" s="1"/>
  <c r="CH30" i="1" a="1"/>
  <c r="CH30" i="1" s="1"/>
  <c r="CI33" i="1" a="1"/>
  <c r="CI33" i="1" s="1"/>
  <c r="CA33" i="1" a="1"/>
  <c r="CA33" i="1" s="1"/>
  <c r="BS33" i="1" a="1"/>
  <c r="BS33" i="1" s="1"/>
  <c r="BA26" i="1" a="1"/>
  <c r="BA26" i="1" s="1"/>
  <c r="B26" i="5"/>
  <c r="B27" i="2"/>
  <c r="BT27" i="1" a="1"/>
  <c r="BT27" i="1" s="1"/>
  <c r="BZ28" i="1" a="1"/>
  <c r="BZ28" i="1" s="1"/>
  <c r="CL29" i="1" a="1"/>
  <c r="CL29" i="1" s="1"/>
  <c r="E29" i="5"/>
  <c r="M30" i="2"/>
  <c r="CN30" i="1" a="1"/>
  <c r="CN30" i="1" s="1"/>
  <c r="BZ30" i="1" a="1"/>
  <c r="BZ30" i="1" s="1"/>
  <c r="CP33" i="1" a="1"/>
  <c r="CP33" i="1" s="1"/>
  <c r="CH33" i="1" a="1"/>
  <c r="CH33" i="1" s="1"/>
  <c r="BZ33" i="1" a="1"/>
  <c r="BZ33" i="1" s="1"/>
  <c r="H27" i="5" a="1"/>
  <c r="H27" i="5" s="1"/>
  <c r="N27" i="5" s="1"/>
  <c r="J27" i="5" a="1"/>
  <c r="J27" i="5" s="1"/>
  <c r="P27" i="5" s="1"/>
  <c r="E27" i="5"/>
  <c r="M28" i="2"/>
  <c r="CJ28" i="1" a="1"/>
  <c r="CJ28" i="1" s="1"/>
  <c r="CB28" i="1" a="1"/>
  <c r="CB28" i="1" s="1"/>
  <c r="BT28" i="1" a="1"/>
  <c r="BT28" i="1" s="1"/>
  <c r="CN28" i="1" a="1"/>
  <c r="CN28" i="1" s="1"/>
  <c r="CF28" i="1" a="1"/>
  <c r="CF28" i="1" s="1"/>
  <c r="BX28" i="1" a="1"/>
  <c r="BX28" i="1" s="1"/>
  <c r="BV28" i="1" a="1"/>
  <c r="BV28" i="1" s="1"/>
  <c r="E30" i="5"/>
  <c r="M31" i="2"/>
  <c r="CJ31" i="1" a="1"/>
  <c r="CJ31" i="1" s="1"/>
  <c r="CB31" i="1" a="1"/>
  <c r="CB31" i="1" s="1"/>
  <c r="BT31" i="1" a="1"/>
  <c r="BT31" i="1" s="1"/>
  <c r="CL31" i="1" a="1"/>
  <c r="CL31" i="1" s="1"/>
  <c r="CD31" i="1" a="1"/>
  <c r="CD31" i="1" s="1"/>
  <c r="BV31" i="1" a="1"/>
  <c r="BV31" i="1" s="1"/>
  <c r="CN31" i="1" a="1"/>
  <c r="CN31" i="1" s="1"/>
  <c r="CF31" i="1" a="1"/>
  <c r="CF31" i="1" s="1"/>
  <c r="BX31" i="1" a="1"/>
  <c r="BX31" i="1" s="1"/>
  <c r="CP31" i="1" a="1"/>
  <c r="CP31" i="1" s="1"/>
  <c r="CH31" i="1" a="1"/>
  <c r="CH31" i="1" s="1"/>
  <c r="BZ31" i="1" a="1"/>
  <c r="BZ31" i="1" s="1"/>
  <c r="J32" i="5" a="1"/>
  <c r="J32" i="5" s="1"/>
  <c r="P32" i="5" s="1"/>
  <c r="E32" i="5"/>
  <c r="M33" i="2"/>
  <c r="CN33" i="1" a="1"/>
  <c r="CN33" i="1" s="1"/>
  <c r="CF33" i="1" a="1"/>
  <c r="CF33" i="1" s="1"/>
  <c r="BX33" i="1" a="1"/>
  <c r="BX33" i="1" s="1"/>
  <c r="CM33" i="1" a="1"/>
  <c r="CM33" i="1" s="1"/>
  <c r="CE33" i="1" a="1"/>
  <c r="CE33" i="1" s="1"/>
  <c r="BW33" i="1" a="1"/>
  <c r="BW33" i="1" s="1"/>
  <c r="CI30" i="1" a="1"/>
  <c r="CI30" i="1" s="1"/>
  <c r="CA30" i="1" a="1"/>
  <c r="CA30" i="1" s="1"/>
  <c r="BS30" i="1" a="1"/>
  <c r="BS30" i="1" s="1"/>
  <c r="CK30" i="1" a="1"/>
  <c r="CK30" i="1" s="1"/>
  <c r="CC30" i="1" a="1"/>
  <c r="CC30" i="1" s="1"/>
  <c r="BU30" i="1" a="1"/>
  <c r="BU30" i="1" s="1"/>
  <c r="CM30" i="1" a="1"/>
  <c r="CM30" i="1" s="1"/>
  <c r="CE30" i="1" a="1"/>
  <c r="CE30" i="1" s="1"/>
  <c r="BW30" i="1" a="1"/>
  <c r="BW30" i="1" s="1"/>
  <c r="CO30" i="1" a="1"/>
  <c r="CO30" i="1" s="1"/>
  <c r="J29" i="5" s="1" a="1"/>
  <c r="J29" i="5" s="1"/>
  <c r="CG30" i="1" a="1"/>
  <c r="CG30" i="1" s="1"/>
  <c r="H29" i="5" s="1" a="1"/>
  <c r="H29" i="5" s="1"/>
  <c r="N29" i="5" s="1"/>
  <c r="O29" i="5" s="1"/>
  <c r="BY30" i="1" a="1"/>
  <c r="BY30" i="1" s="1"/>
  <c r="F29" i="5" s="1" a="1"/>
  <c r="F29" i="5" s="1"/>
  <c r="E31" i="5"/>
  <c r="M32" i="2"/>
  <c r="CK33" i="1" a="1"/>
  <c r="CK33" i="1" s="1"/>
  <c r="CC33" i="1" a="1"/>
  <c r="CC33" i="1" s="1"/>
  <c r="BU33" i="1" a="1"/>
  <c r="BU33" i="1" s="1"/>
  <c r="CP34" i="1" a="1"/>
  <c r="CP34" i="1" s="1"/>
  <c r="CH34" i="1" a="1"/>
  <c r="CH34" i="1" s="1"/>
  <c r="BZ34" i="1" a="1"/>
  <c r="BZ34" i="1" s="1"/>
  <c r="CI29" i="1" a="1"/>
  <c r="CI29" i="1" s="1"/>
  <c r="CA29" i="1" a="1"/>
  <c r="CA29" i="1" s="1"/>
  <c r="BS29" i="1" a="1"/>
  <c r="BS29" i="1" s="1"/>
  <c r="CK29" i="1" a="1"/>
  <c r="CK29" i="1" s="1"/>
  <c r="CC29" i="1" a="1"/>
  <c r="CC29" i="1" s="1"/>
  <c r="BU29" i="1" a="1"/>
  <c r="BU29" i="1" s="1"/>
  <c r="CM29" i="1" a="1"/>
  <c r="CM29" i="1" s="1"/>
  <c r="CE29" i="1" a="1"/>
  <c r="CE29" i="1" s="1"/>
  <c r="BW29" i="1" a="1"/>
  <c r="BW29" i="1" s="1"/>
  <c r="CO29" i="1" a="1"/>
  <c r="CO29" i="1" s="1"/>
  <c r="J28" i="5" s="1" a="1"/>
  <c r="J28" i="5" s="1"/>
  <c r="CG29" i="1" a="1"/>
  <c r="CG29" i="1" s="1"/>
  <c r="H28" i="5" s="1" a="1"/>
  <c r="H28" i="5" s="1"/>
  <c r="BY29" i="1" a="1"/>
  <c r="BY29" i="1" s="1"/>
  <c r="F28" i="5" s="1" a="1"/>
  <c r="F28" i="5" s="1"/>
  <c r="BV30" i="1" a="1"/>
  <c r="BV30" i="1" s="1"/>
  <c r="CD30" i="1" a="1"/>
  <c r="CD30" i="1" s="1"/>
  <c r="CI31" i="1" a="1"/>
  <c r="CI31" i="1" s="1"/>
  <c r="CA31" i="1" a="1"/>
  <c r="CA31" i="1" s="1"/>
  <c r="BS31" i="1" a="1"/>
  <c r="BS31" i="1" s="1"/>
  <c r="CK31" i="1" a="1"/>
  <c r="CK31" i="1" s="1"/>
  <c r="CC31" i="1" a="1"/>
  <c r="CC31" i="1" s="1"/>
  <c r="BU31" i="1" a="1"/>
  <c r="BU31" i="1" s="1"/>
  <c r="CM31" i="1" a="1"/>
  <c r="CM31" i="1" s="1"/>
  <c r="CE31" i="1" a="1"/>
  <c r="CE31" i="1" s="1"/>
  <c r="BW31" i="1" a="1"/>
  <c r="BW31" i="1" s="1"/>
  <c r="CO31" i="1" a="1"/>
  <c r="CO31" i="1" s="1"/>
  <c r="J30" i="5" s="1" a="1"/>
  <c r="J30" i="5" s="1"/>
  <c r="CG31" i="1" a="1"/>
  <c r="CG31" i="1" s="1"/>
  <c r="H30" i="5" s="1" a="1"/>
  <c r="H30" i="5" s="1"/>
  <c r="BY31" i="1" a="1"/>
  <c r="BY31" i="1" s="1"/>
  <c r="F30" i="5" s="1" a="1"/>
  <c r="F30" i="5" s="1"/>
  <c r="BV32" i="1" a="1"/>
  <c r="BV32" i="1" s="1"/>
  <c r="CD32" i="1" a="1"/>
  <c r="CD32" i="1" s="1"/>
  <c r="B33" i="5"/>
  <c r="B34" i="2"/>
  <c r="BS34" i="1" a="1"/>
  <c r="BS34" i="1" s="1"/>
  <c r="CA34" i="1" a="1"/>
  <c r="CA34" i="1" s="1"/>
  <c r="BU35" i="1" a="1"/>
  <c r="BU35" i="1" s="1"/>
  <c r="CC35" i="1" a="1"/>
  <c r="CC35" i="1" s="1"/>
  <c r="BT30" i="1" a="1"/>
  <c r="BT30" i="1" s="1"/>
  <c r="CB30" i="1" a="1"/>
  <c r="CB30" i="1" s="1"/>
  <c r="B31" i="5"/>
  <c r="B32" i="2"/>
  <c r="BT32" i="1" a="1"/>
  <c r="BT32" i="1" s="1"/>
  <c r="CB32" i="1" a="1"/>
  <c r="CB32" i="1" s="1"/>
  <c r="BY34" i="1" a="1"/>
  <c r="BY34" i="1" s="1"/>
  <c r="CG34" i="1" a="1"/>
  <c r="CG34" i="1" s="1"/>
  <c r="H33" i="5" s="1" a="1"/>
  <c r="H33" i="5" s="1"/>
  <c r="M35" i="1" a="1"/>
  <c r="M35" i="1" s="1"/>
  <c r="L35" i="1" a="1"/>
  <c r="L35" i="1" s="1"/>
  <c r="L35" i="2" s="1"/>
  <c r="CL35" i="1" a="1"/>
  <c r="CL35" i="1" s="1"/>
  <c r="CD35" i="1" a="1"/>
  <c r="CD35" i="1" s="1"/>
  <c r="BV35" i="1" a="1"/>
  <c r="BV35" i="1" s="1"/>
  <c r="BA35" i="1" a="1"/>
  <c r="BA35" i="1" s="1"/>
  <c r="BW35" i="1" a="1"/>
  <c r="BW35" i="1" s="1"/>
  <c r="CE35" i="1" a="1"/>
  <c r="CE35" i="1" s="1"/>
  <c r="S5" i="5"/>
  <c r="CI32" i="1" a="1"/>
  <c r="CI32" i="1" s="1"/>
  <c r="CA32" i="1" a="1"/>
  <c r="CA32" i="1" s="1"/>
  <c r="BS32" i="1" a="1"/>
  <c r="BS32" i="1" s="1"/>
  <c r="CK32" i="1" a="1"/>
  <c r="CK32" i="1" s="1"/>
  <c r="CC32" i="1" a="1"/>
  <c r="CC32" i="1" s="1"/>
  <c r="BU32" i="1" a="1"/>
  <c r="BU32" i="1" s="1"/>
  <c r="CM32" i="1" a="1"/>
  <c r="CM32" i="1" s="1"/>
  <c r="CE32" i="1" a="1"/>
  <c r="CE32" i="1" s="1"/>
  <c r="BW32" i="1" a="1"/>
  <c r="BW32" i="1" s="1"/>
  <c r="CO32" i="1" a="1"/>
  <c r="CO32" i="1" s="1"/>
  <c r="J31" i="5" s="1" a="1"/>
  <c r="J31" i="5" s="1"/>
  <c r="CG32" i="1" a="1"/>
  <c r="CG32" i="1" s="1"/>
  <c r="H31" i="5" s="1" a="1"/>
  <c r="H31" i="5" s="1"/>
  <c r="N31" i="5" s="1"/>
  <c r="O31" i="5" s="1"/>
  <c r="BY32" i="1" a="1"/>
  <c r="BY32" i="1" s="1"/>
  <c r="F31" i="5" s="1" a="1"/>
  <c r="F31" i="5" s="1"/>
  <c r="CJ33" i="1" a="1"/>
  <c r="CJ33" i="1" s="1"/>
  <c r="CB33" i="1" a="1"/>
  <c r="CB33" i="1" s="1"/>
  <c r="BT33" i="1" a="1"/>
  <c r="BT33" i="1" s="1"/>
  <c r="CL33" i="1" a="1"/>
  <c r="CL33" i="1" s="1"/>
  <c r="CD33" i="1" a="1"/>
  <c r="CD33" i="1" s="1"/>
  <c r="BV33" i="1" a="1"/>
  <c r="BV33" i="1" s="1"/>
  <c r="BY33" i="1" a="1"/>
  <c r="BY33" i="1" s="1"/>
  <c r="F32" i="5" s="1" a="1"/>
  <c r="F32" i="5" s="1"/>
  <c r="CG33" i="1" a="1"/>
  <c r="CG33" i="1" s="1"/>
  <c r="H32" i="5" s="1" a="1"/>
  <c r="H32" i="5" s="1"/>
  <c r="B30" i="2"/>
  <c r="S6" i="5"/>
  <c r="B28" i="5"/>
  <c r="B29" i="2"/>
  <c r="BX30" i="1" a="1"/>
  <c r="BX30" i="1" s="1"/>
  <c r="CF30" i="1" a="1"/>
  <c r="CF30" i="1" s="1"/>
  <c r="B30" i="5"/>
  <c r="B31" i="2"/>
  <c r="BX32" i="1" a="1"/>
  <c r="BX32" i="1" s="1"/>
  <c r="CF32" i="1" a="1"/>
  <c r="CF32" i="1" s="1"/>
  <c r="B32" i="5"/>
  <c r="B33" i="2"/>
  <c r="J33" i="5" a="1"/>
  <c r="J33" i="5" s="1"/>
  <c r="P33" i="5" s="1"/>
  <c r="E33" i="5"/>
  <c r="F33" i="5" a="1"/>
  <c r="F33" i="5" s="1"/>
  <c r="M34" i="2"/>
  <c r="CJ34" i="1" a="1"/>
  <c r="CJ34" i="1" s="1"/>
  <c r="CB34" i="1" a="1"/>
  <c r="CB34" i="1" s="1"/>
  <c r="BT34" i="1" a="1"/>
  <c r="BT34" i="1" s="1"/>
  <c r="CL34" i="1" a="1"/>
  <c r="CL34" i="1" s="1"/>
  <c r="CD34" i="1" a="1"/>
  <c r="CD34" i="1" s="1"/>
  <c r="BV34" i="1" a="1"/>
  <c r="BV34" i="1" s="1"/>
  <c r="CN34" i="1" a="1"/>
  <c r="CN34" i="1" s="1"/>
  <c r="CF34" i="1" a="1"/>
  <c r="CF34" i="1" s="1"/>
  <c r="BX34" i="1" a="1"/>
  <c r="BX34" i="1" s="1"/>
  <c r="B34" i="5"/>
  <c r="B35" i="2"/>
  <c r="CJ35" i="1" a="1"/>
  <c r="CJ35" i="1" s="1"/>
  <c r="CB35" i="1" a="1"/>
  <c r="CB35" i="1" s="1"/>
  <c r="BT35" i="1" a="1"/>
  <c r="BT35" i="1" s="1"/>
  <c r="CN35" i="1" a="1"/>
  <c r="CN35" i="1" s="1"/>
  <c r="CF35" i="1" a="1"/>
  <c r="CF35" i="1" s="1"/>
  <c r="BX35" i="1" a="1"/>
  <c r="BX35" i="1" s="1"/>
  <c r="BS35" i="1" a="1"/>
  <c r="BS35" i="1" s="1"/>
  <c r="CA35" i="1" a="1"/>
  <c r="CA35" i="1" s="1"/>
  <c r="S8" i="5"/>
  <c r="S9" i="5"/>
  <c r="S14" i="5"/>
  <c r="S13" i="5"/>
  <c r="S12" i="5"/>
  <c r="S15" i="5"/>
  <c r="S17" i="5"/>
  <c r="S7" i="5"/>
  <c r="S10" i="5"/>
  <c r="S16" i="5"/>
  <c r="S19" i="5"/>
  <c r="S21" i="5"/>
  <c r="S27" i="5"/>
  <c r="S29" i="5"/>
  <c r="S30" i="5"/>
  <c r="S32" i="5"/>
  <c r="S31" i="5"/>
  <c r="S26" i="5"/>
  <c r="S28" i="5"/>
  <c r="S33" i="5"/>
  <c r="Q33" i="5" l="1"/>
  <c r="Q32" i="5"/>
  <c r="Q21" i="5"/>
  <c r="Q19" i="5"/>
  <c r="Q15" i="5"/>
  <c r="O15" i="5"/>
  <c r="O16" i="5"/>
  <c r="Q9" i="5"/>
  <c r="Q12" i="5"/>
  <c r="O7" i="5"/>
  <c r="K33" i="5"/>
  <c r="K16" i="5"/>
  <c r="P5" i="5"/>
  <c r="Q5" i="5" s="1"/>
  <c r="K5" i="5"/>
  <c r="N33" i="5"/>
  <c r="O33" i="5" s="1"/>
  <c r="I33" i="5"/>
  <c r="I6" i="5"/>
  <c r="I15" i="5"/>
  <c r="I14" i="5"/>
  <c r="I27" i="5"/>
  <c r="P30" i="5"/>
  <c r="Q30" i="5" s="1"/>
  <c r="K30" i="5"/>
  <c r="G19" i="5"/>
  <c r="L19" i="5"/>
  <c r="M19" i="5" s="1"/>
  <c r="P26" i="5"/>
  <c r="Q26" i="5" s="1"/>
  <c r="K26" i="5"/>
  <c r="N17" i="5"/>
  <c r="O17" i="5" s="1"/>
  <c r="I17" i="5"/>
  <c r="G9" i="5"/>
  <c r="L9" i="5"/>
  <c r="M9" i="5" s="1"/>
  <c r="P31" i="5"/>
  <c r="Q31" i="5" s="1"/>
  <c r="K31" i="5"/>
  <c r="G28" i="5"/>
  <c r="L28" i="5"/>
  <c r="M28" i="5" s="1"/>
  <c r="L31" i="5"/>
  <c r="M31" i="5" s="1"/>
  <c r="G31" i="5"/>
  <c r="G29" i="5"/>
  <c r="L29" i="5"/>
  <c r="M29" i="5" s="1"/>
  <c r="P17" i="5"/>
  <c r="Q17" i="5" s="1"/>
  <c r="K17" i="5"/>
  <c r="L16" i="5"/>
  <c r="M16" i="5" s="1"/>
  <c r="G16" i="5"/>
  <c r="N8" i="5"/>
  <c r="O8" i="5" s="1"/>
  <c r="I8" i="5"/>
  <c r="N5" i="5"/>
  <c r="O5" i="5" s="1"/>
  <c r="I5" i="5"/>
  <c r="N30" i="5"/>
  <c r="O30" i="5" s="1"/>
  <c r="I30" i="5"/>
  <c r="N32" i="5"/>
  <c r="O32" i="5" s="1"/>
  <c r="I32" i="5"/>
  <c r="N28" i="5"/>
  <c r="O28" i="5" s="1"/>
  <c r="I28" i="5"/>
  <c r="G21" i="5"/>
  <c r="L21" i="5"/>
  <c r="M21" i="5" s="1"/>
  <c r="G32" i="5"/>
  <c r="L32" i="5"/>
  <c r="M32" i="5" s="1"/>
  <c r="G30" i="5"/>
  <c r="L30" i="5"/>
  <c r="M30" i="5" s="1"/>
  <c r="P28" i="5"/>
  <c r="Q28" i="5" s="1"/>
  <c r="K28" i="5"/>
  <c r="N19" i="5"/>
  <c r="O19" i="5" s="1"/>
  <c r="I19" i="5"/>
  <c r="G26" i="5"/>
  <c r="L26" i="5"/>
  <c r="M26" i="5" s="1"/>
  <c r="N9" i="5"/>
  <c r="O9" i="5" s="1"/>
  <c r="I9" i="5"/>
  <c r="P29" i="5"/>
  <c r="Q29" i="5" s="1"/>
  <c r="K29" i="5"/>
  <c r="N21" i="5"/>
  <c r="O21" i="5" s="1"/>
  <c r="I21" i="5"/>
  <c r="N26" i="5"/>
  <c r="O26" i="5" s="1"/>
  <c r="I26" i="5"/>
  <c r="G17" i="5"/>
  <c r="L17" i="5"/>
  <c r="M17" i="5" s="1"/>
  <c r="L8" i="5"/>
  <c r="M8" i="5" s="1"/>
  <c r="G8" i="5"/>
  <c r="N12" i="5"/>
  <c r="O12" i="5" s="1"/>
  <c r="I12" i="5"/>
  <c r="L12" i="5"/>
  <c r="M12" i="5" s="1"/>
  <c r="G12" i="5"/>
  <c r="L5" i="5"/>
  <c r="M5" i="5" s="1"/>
  <c r="G5" i="5"/>
  <c r="G33" i="5"/>
  <c r="L33" i="5"/>
  <c r="M33" i="5" s="1"/>
  <c r="CP35" i="1" a="1"/>
  <c r="CP35" i="1" s="1"/>
  <c r="CH35" i="1" a="1"/>
  <c r="CH35" i="1" s="1"/>
  <c r="BZ35" i="1" a="1"/>
  <c r="BZ35" i="1" s="1"/>
  <c r="I31" i="5"/>
  <c r="K27" i="5"/>
  <c r="I29" i="5"/>
  <c r="CP26" i="1" a="1"/>
  <c r="CP26" i="1" s="1"/>
  <c r="CH26" i="1" a="1"/>
  <c r="CH26" i="1" s="1"/>
  <c r="BZ26" i="1" a="1"/>
  <c r="BZ26" i="1" s="1"/>
  <c r="CP18" i="1" a="1"/>
  <c r="CP18" i="1" s="1"/>
  <c r="CH18" i="1" a="1"/>
  <c r="CH18" i="1" s="1"/>
  <c r="BZ18" i="1" a="1"/>
  <c r="BZ18" i="1" s="1"/>
  <c r="F24" i="5" a="1"/>
  <c r="F24" i="5" s="1"/>
  <c r="H24" i="5" a="1"/>
  <c r="H24" i="5" s="1"/>
  <c r="N24" i="5" s="1"/>
  <c r="E24" i="5"/>
  <c r="S24" i="5" s="1"/>
  <c r="J24" i="5" a="1"/>
  <c r="J24" i="5" s="1"/>
  <c r="P24" i="5" s="1"/>
  <c r="Q24" i="5" s="1"/>
  <c r="M25" i="2"/>
  <c r="K19" i="5"/>
  <c r="CP17" i="1" a="1"/>
  <c r="CP17" i="1" s="1"/>
  <c r="CH17" i="1" a="1"/>
  <c r="CH17" i="1" s="1"/>
  <c r="BZ17" i="1" a="1"/>
  <c r="BZ17" i="1" s="1"/>
  <c r="J18" i="5" a="1"/>
  <c r="J18" i="5" s="1"/>
  <c r="P18" i="5" s="1"/>
  <c r="E18" i="5"/>
  <c r="S18" i="5" s="1"/>
  <c r="F18" i="5" a="1"/>
  <c r="F18" i="5" s="1"/>
  <c r="K18" i="5"/>
  <c r="H18" i="5" a="1"/>
  <c r="H18" i="5" s="1"/>
  <c r="M19" i="2"/>
  <c r="G14" i="5"/>
  <c r="L14" i="5"/>
  <c r="M14" i="5" s="1"/>
  <c r="K13" i="5"/>
  <c r="Q16" i="5"/>
  <c r="I16" i="5"/>
  <c r="BZ10" i="1" a="1"/>
  <c r="BZ10" i="1" s="1"/>
  <c r="CH10" i="1" a="1"/>
  <c r="CH10" i="1" s="1"/>
  <c r="CP10" i="1" a="1"/>
  <c r="CP10" i="1" s="1"/>
  <c r="Q8" i="5"/>
  <c r="CP11" i="1" a="1"/>
  <c r="CP11" i="1" s="1"/>
  <c r="CH11" i="1" a="1"/>
  <c r="CH11" i="1" s="1"/>
  <c r="BZ11" i="1" a="1"/>
  <c r="BZ11" i="1" s="1"/>
  <c r="O6" i="5"/>
  <c r="CP8" i="1" a="1"/>
  <c r="CP8" i="1" s="1"/>
  <c r="CH8" i="1" a="1"/>
  <c r="CH8" i="1" s="1"/>
  <c r="BZ8" i="1" a="1"/>
  <c r="BZ8" i="1" s="1"/>
  <c r="Q10" i="5"/>
  <c r="Q5" i="7"/>
  <c r="P5" i="7"/>
  <c r="Z14" i="7"/>
  <c r="AA14" i="7"/>
  <c r="AA6" i="7"/>
  <c r="Z6" i="7"/>
  <c r="AA8" i="7"/>
  <c r="Z8" i="7"/>
  <c r="H34" i="5" a="1"/>
  <c r="H34" i="5" s="1"/>
  <c r="N34" i="5" s="1"/>
  <c r="J34" i="5" a="1"/>
  <c r="J34" i="5" s="1"/>
  <c r="P34" i="5" s="1"/>
  <c r="E34" i="5"/>
  <c r="S34" i="5" s="1"/>
  <c r="F34" i="5" a="1"/>
  <c r="F34" i="5" s="1"/>
  <c r="M35" i="2"/>
  <c r="L27" i="5"/>
  <c r="M27" i="5" s="1"/>
  <c r="G27" i="5"/>
  <c r="CP23" i="1" a="1"/>
  <c r="CP23" i="1" s="1"/>
  <c r="CH23" i="1" a="1"/>
  <c r="CH23" i="1" s="1"/>
  <c r="BZ23" i="1" a="1"/>
  <c r="BZ23" i="1" s="1"/>
  <c r="CP20" i="1" a="1"/>
  <c r="CP20" i="1" s="1"/>
  <c r="CH20" i="1" a="1"/>
  <c r="CH20" i="1" s="1"/>
  <c r="BZ20" i="1" a="1"/>
  <c r="BZ20" i="1" s="1"/>
  <c r="CP25" i="1" a="1"/>
  <c r="CP25" i="1" s="1"/>
  <c r="CH25" i="1" a="1"/>
  <c r="CH25" i="1" s="1"/>
  <c r="BZ25" i="1" a="1"/>
  <c r="BZ25" i="1" s="1"/>
  <c r="CP24" i="1" a="1"/>
  <c r="CP24" i="1" s="1"/>
  <c r="CH24" i="1" a="1"/>
  <c r="CH24" i="1" s="1"/>
  <c r="BZ24" i="1" a="1"/>
  <c r="BZ24" i="1" s="1"/>
  <c r="F20" i="5" a="1"/>
  <c r="F20" i="5" s="1"/>
  <c r="H20" i="5" a="1"/>
  <c r="H20" i="5" s="1"/>
  <c r="J20" i="5" a="1"/>
  <c r="J20" i="5" s="1"/>
  <c r="P20" i="5" s="1"/>
  <c r="E20" i="5"/>
  <c r="S20" i="5" s="1"/>
  <c r="M21" i="2"/>
  <c r="BZ14" i="1" a="1"/>
  <c r="BZ14" i="1" s="1"/>
  <c r="CP14" i="1" a="1"/>
  <c r="CP14" i="1" s="1"/>
  <c r="CH14" i="1" a="1"/>
  <c r="CH14" i="1" s="1"/>
  <c r="CP15" i="1" a="1"/>
  <c r="CP15" i="1" s="1"/>
  <c r="CH15" i="1" a="1"/>
  <c r="CH15" i="1" s="1"/>
  <c r="BZ15" i="1" a="1"/>
  <c r="BZ15" i="1" s="1"/>
  <c r="G13" i="5"/>
  <c r="L13" i="5"/>
  <c r="M13" i="5" s="1"/>
  <c r="CP6" i="1" a="1"/>
  <c r="CP6" i="1" s="1"/>
  <c r="CH6" i="1" a="1"/>
  <c r="CH6" i="1" s="1"/>
  <c r="BZ6" i="1" a="1"/>
  <c r="BZ6" i="1" s="1"/>
  <c r="G10" i="5"/>
  <c r="L10" i="5"/>
  <c r="M10" i="5" s="1"/>
  <c r="Q7" i="5"/>
  <c r="AA18" i="7"/>
  <c r="Z18" i="7"/>
  <c r="AA7" i="7"/>
  <c r="Z7" i="7"/>
  <c r="Q27" i="5"/>
  <c r="CP22" i="1" a="1"/>
  <c r="CP22" i="1" s="1"/>
  <c r="CH22" i="1" a="1"/>
  <c r="CH22" i="1" s="1"/>
  <c r="BZ22" i="1" a="1"/>
  <c r="BZ22" i="1" s="1"/>
  <c r="H23" i="5" a="1"/>
  <c r="H23" i="5" s="1"/>
  <c r="N23" i="5" s="1"/>
  <c r="J23" i="5" a="1"/>
  <c r="J23" i="5" s="1"/>
  <c r="E23" i="5"/>
  <c r="S23" i="5" s="1"/>
  <c r="F23" i="5" a="1"/>
  <c r="F23" i="5" s="1"/>
  <c r="I23" i="5"/>
  <c r="M24" i="2"/>
  <c r="J22" i="5" a="1"/>
  <c r="J22" i="5" s="1"/>
  <c r="P22" i="5" s="1"/>
  <c r="E22" i="5"/>
  <c r="S22" i="5" s="1"/>
  <c r="H22" i="5" a="1"/>
  <c r="H22" i="5" s="1"/>
  <c r="N22" i="5" s="1"/>
  <c r="O22" i="5" s="1"/>
  <c r="F22" i="5" a="1"/>
  <c r="F22" i="5" s="1"/>
  <c r="K22" i="5"/>
  <c r="M23" i="2"/>
  <c r="G15" i="5"/>
  <c r="L15" i="5"/>
  <c r="M15" i="5" s="1"/>
  <c r="Q13" i="5"/>
  <c r="I13" i="5"/>
  <c r="CP13" i="1" a="1"/>
  <c r="CP13" i="1" s="1"/>
  <c r="CH13" i="1" a="1"/>
  <c r="CH13" i="1" s="1"/>
  <c r="BZ13" i="1" a="1"/>
  <c r="BZ13" i="1" s="1"/>
  <c r="K8" i="5"/>
  <c r="K6" i="5"/>
  <c r="G6" i="5"/>
  <c r="L6" i="5"/>
  <c r="M6" i="5" s="1"/>
  <c r="H11" i="5" a="1"/>
  <c r="H11" i="5" s="1"/>
  <c r="N11" i="5" s="1"/>
  <c r="J11" i="5" a="1"/>
  <c r="J11" i="5" s="1"/>
  <c r="P11" i="5" s="1"/>
  <c r="E11" i="5"/>
  <c r="S11" i="5" s="1"/>
  <c r="I11" i="5"/>
  <c r="F11" i="5" a="1"/>
  <c r="F11" i="5" s="1"/>
  <c r="M12" i="2"/>
  <c r="I10" i="5"/>
  <c r="G7" i="5"/>
  <c r="L7" i="5"/>
  <c r="M7" i="5" s="1"/>
  <c r="Z17" i="7"/>
  <c r="AA17" i="7"/>
  <c r="AA15" i="7"/>
  <c r="Z15" i="7"/>
  <c r="AA5" i="7"/>
  <c r="Z5" i="7"/>
  <c r="AA9" i="7"/>
  <c r="Z9" i="7"/>
  <c r="Q6" i="7"/>
  <c r="P6" i="7"/>
  <c r="K32" i="5"/>
  <c r="O27" i="5"/>
  <c r="J25" i="5" a="1"/>
  <c r="J25" i="5" s="1"/>
  <c r="P25" i="5" s="1"/>
  <c r="E25" i="5"/>
  <c r="S25" i="5" s="1"/>
  <c r="F25" i="5" a="1"/>
  <c r="F25" i="5" s="1"/>
  <c r="K25" i="5"/>
  <c r="H25" i="5" a="1"/>
  <c r="H25" i="5" s="1"/>
  <c r="M26" i="2"/>
  <c r="K21" i="5"/>
  <c r="CP21" i="1" a="1"/>
  <c r="CP21" i="1" s="1"/>
  <c r="CH21" i="1" a="1"/>
  <c r="CH21" i="1" s="1"/>
  <c r="BZ21" i="1" a="1"/>
  <c r="BZ21" i="1" s="1"/>
  <c r="K15" i="5"/>
  <c r="CP16" i="1" a="1"/>
  <c r="CP16" i="1" s="1"/>
  <c r="CH16" i="1" a="1"/>
  <c r="CH16" i="1" s="1"/>
  <c r="BZ16" i="1" a="1"/>
  <c r="BZ16" i="1" s="1"/>
  <c r="Q14" i="5"/>
  <c r="BZ9" i="1" a="1"/>
  <c r="BZ9" i="1" s="1"/>
  <c r="CP9" i="1" a="1"/>
  <c r="CP9" i="1" s="1"/>
  <c r="CH9" i="1" a="1"/>
  <c r="CH9" i="1" s="1"/>
  <c r="O13" i="5"/>
  <c r="Q6" i="5"/>
  <c r="K9" i="5"/>
  <c r="K12" i="5"/>
  <c r="CP12" i="1" a="1"/>
  <c r="CP12" i="1" s="1"/>
  <c r="BZ12" i="1" a="1"/>
  <c r="BZ12" i="1" s="1"/>
  <c r="CH12" i="1" a="1"/>
  <c r="CH12" i="1" s="1"/>
  <c r="I7" i="5"/>
  <c r="AA16" i="7"/>
  <c r="Z16" i="7"/>
  <c r="N25" i="5" l="1"/>
  <c r="O25" i="5" s="1"/>
  <c r="I25" i="5"/>
  <c r="Q25" i="5"/>
  <c r="Q11" i="5"/>
  <c r="O11" i="5"/>
  <c r="Q22" i="5"/>
  <c r="P23" i="5"/>
  <c r="Q23" i="5" s="1"/>
  <c r="K23" i="5"/>
  <c r="Q20" i="5"/>
  <c r="N20" i="5"/>
  <c r="O20" i="5" s="1"/>
  <c r="I20" i="5"/>
  <c r="O34" i="5"/>
  <c r="N18" i="5"/>
  <c r="O18" i="5" s="1"/>
  <c r="I18" i="5"/>
  <c r="Q18" i="5"/>
  <c r="O24" i="5"/>
  <c r="G34" i="5"/>
  <c r="L34" i="5"/>
  <c r="M34" i="5" s="1"/>
  <c r="G25" i="5"/>
  <c r="L25" i="5"/>
  <c r="M25" i="5" s="1"/>
  <c r="G11" i="5"/>
  <c r="L11" i="5"/>
  <c r="M11" i="5" s="1"/>
  <c r="G22" i="5"/>
  <c r="L22" i="5"/>
  <c r="M22" i="5" s="1"/>
  <c r="I34" i="5"/>
  <c r="K34" i="5"/>
  <c r="G18" i="5"/>
  <c r="L18" i="5"/>
  <c r="M18" i="5" s="1"/>
  <c r="K24" i="5"/>
  <c r="O23" i="5"/>
  <c r="K20" i="5"/>
  <c r="G24" i="5"/>
  <c r="L24" i="5"/>
  <c r="M24" i="5" s="1"/>
  <c r="K11" i="5"/>
  <c r="I22" i="5"/>
  <c r="G23" i="5"/>
  <c r="L23" i="5"/>
  <c r="M23" i="5" s="1"/>
  <c r="L20" i="5"/>
  <c r="M20" i="5" s="1"/>
  <c r="G20" i="5"/>
  <c r="Q34" i="5"/>
  <c r="I24" i="5"/>
  <c r="C7" i="7" l="1"/>
  <c r="C15" i="7"/>
  <c r="C9" i="7"/>
  <c r="C16" i="7"/>
  <c r="C8" i="7"/>
  <c r="C1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tc={9C4855B2-2D6B-4A63-ACF3-91421A75792A}</author>
    <author>tc={7EF1FC34-6A55-4AA8-9003-1F99AD52296F}</author>
    <author>tc={0D539F0D-E91C-4BCE-A1DC-8437689FC367}</author>
    <author>tc={95702383-B75C-4539-9F7F-D238887DEAC5}</author>
    <author>tc={2E12F552-9F0F-45E3-AAC2-839528E01DC1}</author>
    <author>tc={EB46BB73-E74B-424D-A67A-4C9E9ED26E0A}</author>
    <author>tc={29DEAF2C-EB48-4FDF-8090-6072B80BE01F}</author>
    <author>tc={398AC434-7794-475D-94D5-CF6AF169608D}</author>
    <author>tc={F2403A00-93DB-447C-99B6-33EFA86A941F}</author>
    <author>tc={5B926B51-8645-4735-B41C-31308349FEC3}</author>
    <author>tc={C079CF36-3CBC-445B-8224-2491782F8B1F}</author>
    <author>tc={7F53A793-F68B-4820-A975-F8101BC5849E}</author>
    <author>tc={5414D75E-CFF3-41D1-B63C-7937AC466638}</author>
    <author>tc={41490147-658B-4A81-BA8F-815635E697A2}</author>
    <author>tc={3062C699-919C-45AE-AD6C-4C3BC6DCE42F}</author>
    <author>tc={B7783CCD-5759-45A0-8C9C-FE51D2024FD8}</author>
    <author>tc={14A8861F-9D35-42AD-8F51-80322EAF6B15}</author>
    <author>tc={FEC5EFA7-783D-4560-9B0C-89817C551B2D}</author>
    <author>tc={A42BA8EE-E34E-4F12-9447-D9193E07D9C4}</author>
    <author>tc={D766E403-AA9C-4CC6-8570-07C4B9F576C8}</author>
    <author>tc={0079CDF8-3F1E-4EFD-AA90-1EA5BA3EB342}</author>
    <author>tc={21120ADC-D8B5-4473-9672-CDE8FAC2C4F8}</author>
    <author>tc={00B59D2A-6EAC-4DC0-9766-84C7A1CD957A}</author>
    <author>tc={852F63B4-CB52-4D66-A92E-D8FC2512AAE7}</author>
    <author>tc={7453F798-3C3C-4EFA-A7D3-C6C788466023}</author>
    <author>tc={77168C1B-EA2D-43BA-9C55-B98BB71C898A}</author>
    <author>tc={D8773231-474F-45A7-B4A4-D3B83EB70E5D}</author>
    <author>tc={16B34589-966F-4A6A-9067-026E3AF234D7}</author>
    <author>tc={02C4627B-F0BF-4866-8542-39AD30DF82D4}</author>
    <author>tc={3C3B5CC7-4BD3-485B-BA2C-FDFB3F78380A}</author>
    <author>tc={A0F792BC-DA61-4F8F-9947-43FF64FE8740}</author>
    <author>tc={36C5489B-5BDF-4864-8AD4-245D67DD3D6D}</author>
    <author>tc={7C089B2D-1720-4223-9685-676AD9008994}</author>
    <author>tc={B952DFFD-4E68-49D9-B28F-52E44AE847B9}</author>
    <author>tc={C87DAF54-D898-43C1-912C-F7387902FC22}</author>
    <author>tc={E18BF6CA-F272-459E-BF2B-F5DFFA336281}</author>
    <author>tc={5207A5BF-5035-4D36-981D-2D3B8DD8C3F1}</author>
    <author>tc={19E6CD24-3114-4CCC-9C50-238E2E63F2FC}</author>
    <author>tc={2186B983-E303-40CA-A305-AC7F3D1E4579}</author>
    <author>tc={B627F947-ABB5-4DCB-A002-F7865440576C}</author>
    <author>tc={EB4EEDB0-E34D-476F-B4D2-6860738B9177}</author>
    <author>tc={E2AC30C1-ECE8-455F-B6EC-006017A737B6}</author>
  </authors>
  <commentList>
    <comment ref="AI6" authorId="0" shapeId="0" xr:uid="{00000000-0006-0000-0100-00000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vacío a 10%</t>
        </r>
      </text>
    </comment>
    <comment ref="AJ6" authorId="1" shapeId="0" xr:uid="{00000000-0006-0000-0100-00000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del sector pasa de 15% a vacío
Reply:
    En alcance adjunto al reporte de primer semestre de 2024 cambian el reporte de 0% a 25%</t>
        </r>
      </text>
    </comment>
    <comment ref="AK6" authorId="2" shapeId="0" xr:uid="{00000000-0006-0000-0100-00000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5% a 30%</t>
        </r>
      </text>
    </comment>
    <comment ref="AM6" authorId="3" shapeId="0" xr:uid="{00000000-0006-0000-0100-00000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Producto creciente y reporte inferior a vigencia anterior.
Reply:
    En alcance eliminan reporte de 12% de acuerdo con periodicidad de medición.</t>
        </r>
      </text>
    </comment>
    <comment ref="AK7" authorId="4" shapeId="0" xr:uid="{00000000-0006-0000-0100-000005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Alcance de información pasa de vacío a 2 </t>
        </r>
      </text>
    </comment>
    <comment ref="AI9" authorId="5" shapeId="0" xr:uid="{00000000-0006-0000-0100-000006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vacío a 1162</t>
        </r>
      </text>
    </comment>
    <comment ref="AJ9" authorId="6" shapeId="0" xr:uid="{00000000-0006-0000-0100-000007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del sector pasa de 2125 a vacío
Reply:
    En alcance adjunto al reporte de primer semestre de 2024 cambian el reporte de vacío a 3287</t>
        </r>
      </text>
    </comment>
    <comment ref="AK9" authorId="7" shapeId="0" xr:uid="{00000000-0006-0000-0100-000008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68888 a 72175</t>
        </r>
      </text>
    </comment>
    <comment ref="AK10" authorId="8" shapeId="0" xr:uid="{00000000-0006-0000-0100-000009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reportan 36825</t>
        </r>
      </text>
    </comment>
    <comment ref="AI11" authorId="9" shapeId="0" xr:uid="{00000000-0006-0000-0100-00000A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del sector</t>
        </r>
      </text>
    </comment>
    <comment ref="AH12" authorId="10" shapeId="0" xr:uid="{00000000-0006-0000-0100-00000B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65 a 239</t>
        </r>
      </text>
    </comment>
    <comment ref="AI12" authorId="11" shapeId="0" xr:uid="{00000000-0006-0000-0100-00000C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del sector
Reply:
    En alcance adjunto al reporte de primer semestre de 2024 cambian el reporte de 65 a 437</t>
        </r>
      </text>
    </comment>
    <comment ref="AJ12" authorId="12" shapeId="0" xr:uid="{00000000-0006-0000-0100-00000D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Revisar reporte
Reply:
    Son 413 acciones</t>
        </r>
      </text>
    </comment>
    <comment ref="AG13" authorId="13" shapeId="0" xr:uid="{00000000-0006-0000-0100-00000E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inferior a la línea base, producto creciente</t>
        </r>
      </text>
    </comment>
    <comment ref="AH13" authorId="14" shapeId="0" xr:uid="{00000000-0006-0000-0100-00000F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reporte es inferior al de 2022 y adicional es inferior a la línea base.
Reply:
    Reporte de 479, periodicidad semestral. Elimino reporte para cálculos</t>
        </r>
      </text>
    </comment>
    <comment ref="AI13" authorId="15" shapeId="0" xr:uid="{00000000-0006-0000-0100-000010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del sector</t>
        </r>
      </text>
    </comment>
    <comment ref="AK13" authorId="16" shapeId="0" xr:uid="{00000000-0006-0000-0100-00001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mesa de trabajo pasa de 864 a 1914</t>
        </r>
      </text>
    </comment>
    <comment ref="AM13" authorId="17" shapeId="0" xr:uid="{00000000-0006-0000-0100-00001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Producto creciente y reporte inferior a vigencia anterior.</t>
        </r>
      </text>
    </comment>
    <comment ref="AX13" authorId="18" shapeId="0" xr:uid="{00000000-0006-0000-0100-00001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inferior a la línea base, producto creciente</t>
        </r>
      </text>
    </comment>
    <comment ref="AY13" authorId="19" shapeId="0" xr:uid="{00000000-0006-0000-0100-00001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mesa de trabajo pasa de 864 a 1914</t>
        </r>
      </text>
    </comment>
    <comment ref="AH14" authorId="20" shapeId="0" xr:uid="{00000000-0006-0000-0100-000015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13.11 a 1311</t>
        </r>
      </text>
    </comment>
    <comment ref="AI14" authorId="21" shapeId="0" xr:uid="{00000000-0006-0000-0100-000016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24.99 a 2499</t>
        </r>
      </text>
    </comment>
    <comment ref="AH20" authorId="22" shapeId="0" xr:uid="{00000000-0006-0000-0100-000017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reporte es inferior al de 2022 
Reply:
    Reporte de 2, periodicidad anual. Elimino reporte para cálculos</t>
        </r>
      </text>
    </comment>
    <comment ref="AJ22" authorId="23" shapeId="0" xr:uid="{00000000-0006-0000-0100-000018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Falta reporte producto trimestral
Reply:
    En alcance adjunto al reporte de primer semestre de 2024 cambian el reporte de vacío a 74</t>
        </r>
      </text>
    </comment>
    <comment ref="AK23" authorId="24" shapeId="0" xr:uid="{00000000-0006-0000-0100-000019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2 a 100
Reply:
    En alcance eliminan reporte de 100 y reportan 22</t>
        </r>
      </text>
    </comment>
    <comment ref="AK28" authorId="25" shapeId="0" xr:uid="{00000000-0006-0000-0100-00001A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Alcance en reporte de 2024</t>
        </r>
      </text>
    </comment>
    <comment ref="AO28" authorId="26" shapeId="0" xr:uid="{00000000-0006-0000-0100-00001B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Producto 4.1.2 anual sin reporte para Q4
Reply:
    En reunión, mencionan que la divulgación ya se realizó en primer semestre. Reporte de cero para segundo semestre</t>
        </r>
      </text>
    </comment>
    <comment ref="AJ29" authorId="27" shapeId="0" xr:uid="{00000000-0006-0000-0100-00001C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Falta reporte producto trimestral
Reply:
    Alcance del sector pasa de vacío a 1 </t>
        </r>
      </text>
    </comment>
    <comment ref="AH30" authorId="28" shapeId="0" xr:uid="{00000000-0006-0000-0100-00001D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reporte es inferior al de 2022 
Reply:
    Reporte de 6, periodicidad anual. Elimino reporte para cálculos</t>
        </r>
      </text>
    </comment>
    <comment ref="AK30" authorId="29" shapeId="0" xr:uid="{00000000-0006-0000-0100-00001E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reporte es inferior al de 2022 
Reply:
    Alcance del sector reporte de 44 cambia a 144</t>
        </r>
      </text>
    </comment>
    <comment ref="AM30" authorId="30" shapeId="0" xr:uid="{00000000-0006-0000-0100-00001F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Producto creciente y reporte inferior a vigencia anterior.
Reply:
    En alcance eliminan reporte de 63 de acuerdo con periodicidad de medición.</t>
        </r>
      </text>
    </comment>
    <comment ref="AK31" authorId="31" shapeId="0" xr:uid="{00000000-0006-0000-0100-000020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vacío a 10</t>
        </r>
      </text>
    </comment>
    <comment ref="AM32" authorId="32" shapeId="0" xr:uid="{00000000-0006-0000-0100-00002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del 25 feb cambian reporte de 295 por 0</t>
        </r>
      </text>
    </comment>
    <comment ref="G33" authorId="33" shapeId="0" xr:uid="{00000000-0006-0000-0100-00002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Linea base es igual a 128, sin embargo la meta final es 128 hay error
Reply:
    Se elimina línea base para cálculos, según reunión con el sector 23 marzo 2023</t>
        </r>
      </text>
    </comment>
    <comment ref="AG33" authorId="34" shapeId="0" xr:uid="{00000000-0006-0000-0100-00002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inferior a la línea base, producto creciente</t>
        </r>
      </text>
    </comment>
    <comment ref="AH33" authorId="35" shapeId="0" xr:uid="{00000000-0006-0000-0100-000024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reporte es inferior al de 2022 
Reply:
    Reporte de 2, periodicidad semestral. Elimino reporte para cálculos</t>
        </r>
      </text>
    </comment>
    <comment ref="AI33" authorId="36" shapeId="0" xr:uid="{00000000-0006-0000-0100-000025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Reportan 4, según mesa de trabaja cambian el valor a 9 </t>
        </r>
      </text>
    </comment>
    <comment ref="AK33" authorId="37" shapeId="0" xr:uid="{00000000-0006-0000-0100-000026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El reporte es inferior al de Q2
</t>
        </r>
      </text>
    </comment>
    <comment ref="AY33" authorId="38" shapeId="0" xr:uid="{00000000-0006-0000-0100-000027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El reporte es inferior al de Q2
</t>
        </r>
      </text>
    </comment>
    <comment ref="AI34" authorId="39" shapeId="0" xr:uid="{00000000-0006-0000-0100-00002800000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Reportan 0, se deja en vacío </t>
        </r>
      </text>
    </comment>
    <comment ref="AJ35" authorId="40" shapeId="0" xr:uid="{00000000-0006-0000-0100-000029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adjunto al reporte de primer semestre de 2024 cambian el reporte de vacío a 844
Reply:
    En alcance cambian reporte de 844 por 13025</t>
        </r>
      </text>
    </comment>
    <comment ref="AM35" authorId="41" shapeId="0" xr:uid="{00000000-0006-0000-0100-00002A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En alcance cambian reporte de 23796 por 31410</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<sst xmlns="http://schemas.openxmlformats.org/spreadsheetml/2006/main" count="1089" uniqueCount="649">
  <si>
    <t>SECTORES DEL DISTRITO</t>
  </si>
  <si>
    <t>ENTIDADES DEL DISTRITO</t>
  </si>
  <si>
    <t>TIPO DE ANUALIZACIÓN</t>
  </si>
  <si>
    <t>PERIODICIDAD DE MEDICIÓN</t>
  </si>
  <si>
    <t>CANTIDAD DE MESES EN LA PERIODICIDAD</t>
  </si>
  <si>
    <t>CANTIDAD DE PERIODOS EN UN AÑO</t>
  </si>
  <si>
    <t>Año de Reporte</t>
  </si>
  <si>
    <t>Trimestres</t>
  </si>
  <si>
    <t>Ambiente</t>
  </si>
  <si>
    <t>ALCALDIA LOCAL DE ANTONIO NARIÑO</t>
  </si>
  <si>
    <t>Creciente</t>
  </si>
  <si>
    <t>Mensual</t>
  </si>
  <si>
    <t>Q1</t>
  </si>
  <si>
    <t xml:space="preserve">Cultura, Recreación y Deporte </t>
  </si>
  <si>
    <t>ALCALDÍA LOCAL DE BARRIOS UNIDOS</t>
  </si>
  <si>
    <t>Decreciente</t>
  </si>
  <si>
    <t>Bimestral</t>
  </si>
  <si>
    <t>Q2</t>
  </si>
  <si>
    <t>Desarrollo Económico, Industria y Turismo </t>
  </si>
  <si>
    <t>ALCALDIA LOCAL DE BOSA</t>
  </si>
  <si>
    <t>Constante</t>
  </si>
  <si>
    <t>Trimestral</t>
  </si>
  <si>
    <t>Q3</t>
  </si>
  <si>
    <t>Educación </t>
  </si>
  <si>
    <t>ALCALDÍA LOCAL DE CHAPINERO</t>
  </si>
  <si>
    <t>Suma</t>
  </si>
  <si>
    <t>Semestral</t>
  </si>
  <si>
    <t>Q4</t>
  </si>
  <si>
    <t>Gestión Jurídica</t>
  </si>
  <si>
    <t>ALCALDIA LOCAL DE CIUDAD BOLIVAR</t>
  </si>
  <si>
    <t>Anual</t>
  </si>
  <si>
    <t>Gestión Pública </t>
  </si>
  <si>
    <t>ALCALDIA LOCAL DE ENGATIVÁ</t>
  </si>
  <si>
    <t>Bienal</t>
  </si>
  <si>
    <t>Gobierno</t>
  </si>
  <si>
    <t>ALCALDIA LOCAL DE FONTIBON</t>
  </si>
  <si>
    <t>Trienal</t>
  </si>
  <si>
    <t>Hábitat</t>
  </si>
  <si>
    <t>ALCALDIA LOCAL DE KENNEDY</t>
  </si>
  <si>
    <t>Cuatrienal</t>
  </si>
  <si>
    <t>Hacienda </t>
  </si>
  <si>
    <t>ALCALDIA LOCAL DE MARTIRES</t>
  </si>
  <si>
    <t>Quinquenal</t>
  </si>
  <si>
    <t>Integración Social</t>
  </si>
  <si>
    <t>ALCALDIA LOCAL DE PUENTE ARANDA</t>
  </si>
  <si>
    <t>Movilidad</t>
  </si>
  <si>
    <t>ALCALDIA LOCAL DE SAN CRISTOBAL</t>
  </si>
  <si>
    <t>Mujeres</t>
  </si>
  <si>
    <t>ALCALDIA LOCAL DE SANTAFE</t>
  </si>
  <si>
    <t>Órganos de Control</t>
  </si>
  <si>
    <t>ALCALDIA LOCAL DE SUBA</t>
  </si>
  <si>
    <t>Planeación </t>
  </si>
  <si>
    <t>ALCALDIA LOCAL DE SUMAPAZ</t>
  </si>
  <si>
    <t>Salud</t>
  </si>
  <si>
    <t>ALCALDIA LOCAL DE TEUSAQUILLO</t>
  </si>
  <si>
    <t>Sector descentralizado territorialmente</t>
  </si>
  <si>
    <t>ALCALDIA LOCAL DE TUNJUELITO</t>
  </si>
  <si>
    <t>Seguridad, Convivencia y Justicia</t>
  </si>
  <si>
    <t>ALCALDIA LOCAL DE USAQUEN</t>
  </si>
  <si>
    <t>ALCALDIA LOCAL DE USME</t>
  </si>
  <si>
    <t>ALCALDIA LOCAL LA CANDELARIA</t>
  </si>
  <si>
    <t>ALCALDIA LOCAL RAFAEL URIBE URIBE</t>
  </si>
  <si>
    <t>Caja de Vivienda Popular</t>
  </si>
  <si>
    <t>Canal Capital</t>
  </si>
  <si>
    <t>CONTRALORIA DE BOGOTA</t>
  </si>
  <si>
    <t>DEPARTAMENTO ADMINISTRATIVO DE LA DEFENSORIA DEL ESPACIO PUBLICO</t>
  </si>
  <si>
    <t>Departamento Administrativo del Servicio Civil Distrital</t>
  </si>
  <si>
    <t>Empresa de Acueducto y Alcantarillado de Bogotá EAAB - ESP</t>
  </si>
  <si>
    <t>Empresa de Renovación y Desarrollo Urbano</t>
  </si>
  <si>
    <t>Empresa Metro de Bogotá </t>
  </si>
  <si>
    <t>Entidad Asesora de Gestión Adminsitrativa y Técnica</t>
  </si>
  <si>
    <t>Fondo de Prestaciones Económicas, Cesantías y Pensiones de Bogotá, Foncep</t>
  </si>
  <si>
    <t>Fondo Financiero Distrital de Salud</t>
  </si>
  <si>
    <t>Fundación Gilberto Alzate Avendaño</t>
  </si>
  <si>
    <t>Instituto de Desarrollo Urbano</t>
  </si>
  <si>
    <t>Instituto Disitrital de Gestión de Riesgos y Cambio Climático IDIGER</t>
  </si>
  <si>
    <t>Instituto Disitrital de Protección y Bienestar Animal</t>
  </si>
  <si>
    <t>Instituto Distrital de la Participación y Acción Comunal</t>
  </si>
  <si>
    <t>Instituto Distrital de las Artes</t>
  </si>
  <si>
    <t>Instituto Distrital de Patrimonio Cultural</t>
  </si>
  <si>
    <t>Instituto Distrital de Recreación y Deporte</t>
  </si>
  <si>
    <t>Instituto Distrital de Turismo, IDT</t>
  </si>
  <si>
    <t>Instituto Distrital para la Protección de la Niñez y la Juventud</t>
  </si>
  <si>
    <t>Instituto para la Economía Social, Ipes</t>
  </si>
  <si>
    <t>Instituto para la Investigación Educativa y El Desarrollo Pedagógico, IDEP</t>
  </si>
  <si>
    <t>Jardín Botánico de Bogotá</t>
  </si>
  <si>
    <t>Lotería de Bogotá</t>
  </si>
  <si>
    <t>Orquesta Filarmonica de Bogotá</t>
  </si>
  <si>
    <t>PERSONERIA DE BOGOTA</t>
  </si>
  <si>
    <t>Secretaría de Cultura, Recreación y Deporte</t>
  </si>
  <si>
    <t>Secretaría de Educación del Distrito</t>
  </si>
  <si>
    <t>Secretaria Distrital de Ambiente</t>
  </si>
  <si>
    <t>Secretaría Distrital de Desarrollo Económico</t>
  </si>
  <si>
    <t>Secretaría Distrital de Gobierno</t>
  </si>
  <si>
    <t>Secretaría Distrital de Hacienda</t>
  </si>
  <si>
    <t>Secretaria Distrital de Integracion Social</t>
  </si>
  <si>
    <t>Secretaría Distrital de la Mujer </t>
  </si>
  <si>
    <t>Secretaría Distrital de Movilidad</t>
  </si>
  <si>
    <t>Secretaría Distrital de Planeación</t>
  </si>
  <si>
    <t>Secretaría Distrital de Salud de Bogotá</t>
  </si>
  <si>
    <t>Secretaría Distrital de Seguridad, Convivencia y Justicia </t>
  </si>
  <si>
    <t>Secretaría Distrital del Hábitat</t>
  </si>
  <si>
    <t>Secretaría General de la Alcaldía de Bogotá</t>
  </si>
  <si>
    <t xml:space="preserve">Secretaría Jurídica Distrital </t>
  </si>
  <si>
    <t>Subred Integrada de Servicios de Salud Centro Oriente E.S.E.</t>
  </si>
  <si>
    <t>Subred Integrada de Servicios de Salud NORTE E.S.E.</t>
  </si>
  <si>
    <t>SUBRED INTEGRADA DE SERVICIOS DE SALUD SUR OCCIDENTE ESE</t>
  </si>
  <si>
    <t>Subred Integrada de Servicios de Salud SUR E.S.E</t>
  </si>
  <si>
    <t>Terminal de Transportes de Bogotá</t>
  </si>
  <si>
    <t>Transmilenio</t>
  </si>
  <si>
    <t>Unidad Administrativa Especial Cuerpo Oficial de Bomberos de Bogotá</t>
  </si>
  <si>
    <t>Unidad Administrativa Especial de Catastro - UAECD</t>
  </si>
  <si>
    <t>Unidad Administrativa Especial De Rehabilitacion Y Mantenimiento Vial</t>
  </si>
  <si>
    <t>Unidad Administrativa Especial de Servicios Públicos, Uaesp</t>
  </si>
  <si>
    <t>Universidad Distrital Francisco José de Caldas</t>
  </si>
  <si>
    <t>VEEDURIA DISTRITAL</t>
  </si>
  <si>
    <t>REGISTRO DE SEGUIMIENTO CUANTITATIVO DE PRODUCTOS</t>
  </si>
  <si>
    <t xml:space="preserve">INFORMACIÓN GENERAL </t>
  </si>
  <si>
    <t>AVANCE Y SEGUIMIENTO</t>
  </si>
  <si>
    <t>METAS PROGRAMADAS</t>
  </si>
  <si>
    <t xml:space="preserve">Avance Cuantitativo de la Vigencia / Meta programada de la vigencia </t>
  </si>
  <si>
    <t>Avance Acumulado / Meta acumulada hasta la Vigencia</t>
  </si>
  <si>
    <t xml:space="preserve">Avance Acumulado del Año / Meta Final </t>
  </si>
  <si>
    <t>Producto No.</t>
  </si>
  <si>
    <t>Key</t>
  </si>
  <si>
    <t>Producto esperado</t>
  </si>
  <si>
    <t>Nombre indicador de Producto</t>
  </si>
  <si>
    <t>Sector Líder</t>
  </si>
  <si>
    <t>Ponderación relativa del Producto (%)</t>
  </si>
  <si>
    <t>Valor Linea Base</t>
  </si>
  <si>
    <t>Tipo de anualización</t>
  </si>
  <si>
    <t>Periodicidad de medición del indicador</t>
  </si>
  <si>
    <t>Fecha de Inicio</t>
  </si>
  <si>
    <t>Fecha de Finalización</t>
  </si>
  <si>
    <t>Corte del último reporte</t>
  </si>
  <si>
    <t>Año del último reporte</t>
  </si>
  <si>
    <t>1er Trimestre 2018</t>
  </si>
  <si>
    <t>2o Trimestre 2018</t>
  </si>
  <si>
    <t>3er Trimestre 2018</t>
  </si>
  <si>
    <t>4o Trimestre 2018</t>
  </si>
  <si>
    <t>1er Trimestre 2019</t>
  </si>
  <si>
    <t>2o Trimestre 2019</t>
  </si>
  <si>
    <t>3er Trimestre 2019</t>
  </si>
  <si>
    <t>4o Trimestre 2019</t>
  </si>
  <si>
    <t>1er Trimestre 2020</t>
  </si>
  <si>
    <t>2o Trimestre 2020</t>
  </si>
  <si>
    <t>3er Trimestre 2020</t>
  </si>
  <si>
    <t>4o Trimestre 2020</t>
  </si>
  <si>
    <t>1er Trimestre 2021</t>
  </si>
  <si>
    <t>2o Trimestre 2021</t>
  </si>
  <si>
    <t>3er Trimestre 2021</t>
  </si>
  <si>
    <t>4o Trimestre 2021</t>
  </si>
  <si>
    <t>1er Trimestre 2022</t>
  </si>
  <si>
    <t>2o Trimestre 2022</t>
  </si>
  <si>
    <t>3er Trimestre 2022</t>
  </si>
  <si>
    <t>4o Trimestre 2022</t>
  </si>
  <si>
    <t>1er Trimestre 2023</t>
  </si>
  <si>
    <t>2o Trimestre 2023</t>
  </si>
  <si>
    <t>3er Trimestre 2023</t>
  </si>
  <si>
    <t>4o Trimestre 2023</t>
  </si>
  <si>
    <t>1er Trimestre 2024</t>
  </si>
  <si>
    <t>2o Trimestre 2024</t>
  </si>
  <si>
    <t>3er Trimestre 2024</t>
  </si>
  <si>
    <t>4o Trimestre 2024</t>
  </si>
  <si>
    <t>1er Trimestre 2025</t>
  </si>
  <si>
    <t>2o Trimestre 2025</t>
  </si>
  <si>
    <t>3er Trimestre 2025</t>
  </si>
  <si>
    <t>4o Trimestre 2025</t>
  </si>
  <si>
    <t>Acumulado 2018</t>
  </si>
  <si>
    <t>Acumulado 2019</t>
  </si>
  <si>
    <t>Acumulado 2020</t>
  </si>
  <si>
    <t>Acumulado 2021</t>
  </si>
  <si>
    <t>Acumulado 2022</t>
  </si>
  <si>
    <t>Acumulado 2023</t>
  </si>
  <si>
    <t>Acumulado 2024</t>
  </si>
  <si>
    <t>Acumulado 2025</t>
  </si>
  <si>
    <t>2018</t>
  </si>
  <si>
    <t>2019</t>
  </si>
  <si>
    <t>2020</t>
  </si>
  <si>
    <t>2021</t>
  </si>
  <si>
    <t>2022</t>
  </si>
  <si>
    <t>2023</t>
  </si>
  <si>
    <t>2024</t>
  </si>
  <si>
    <t>2025</t>
  </si>
  <si>
    <t>Meta Final</t>
  </si>
  <si>
    <t>Acumulada 2018</t>
  </si>
  <si>
    <t>Acumulada 2019</t>
  </si>
  <si>
    <t>Acumulada 2020</t>
  </si>
  <si>
    <t>Acumulada 2021</t>
  </si>
  <si>
    <t>Acumulada 2022</t>
  </si>
  <si>
    <t>Acumulada 2023</t>
  </si>
  <si>
    <t>Acumulada 2024</t>
  </si>
  <si>
    <t>Acumulada 2025</t>
  </si>
  <si>
    <t>1.1.1. Promoción y fortalecimiento de la actividad física para servidoras y servidores públicos del Distrito Capital</t>
  </si>
  <si>
    <t>Acciones para la promoción y fortalecimiento de la actividad física para servidoras y servidores públicos del Distrito Capital</t>
  </si>
  <si>
    <t/>
  </si>
  <si>
    <t xml:space="preserve">1.1.2. Medición de factores culturales asociados a las prácticas recreativas y deportivas en la ciudad                                                         </t>
  </si>
  <si>
    <t xml:space="preserve">Medición de factores culturales asociados a las prácticas recreativas y deportivas en la ciudad desarrollado                                                                                </t>
  </si>
  <si>
    <t>1.1.3. Programas deportivos, recreativos y de actividad física en la atención de las diferentes poblaciones, en los espacios priorizados  para el desarrollo social integral.</t>
  </si>
  <si>
    <t xml:space="preserve">Atenciones a personas en actividades y procesos deportivos, de recreación y de actividad física en el eje de aprovechamiento del tiempo liberado de la modalidad desarrollo de capacidades para la generación de oportunidades. </t>
  </si>
  <si>
    <t xml:space="preserve">1.1.4. Medición de la práctica de actividad física en los beneficiarios que participan en los programas de la Subdirección Técnica de Recreación en relación a las recomendaciones vigentes de la Organización Mundial de la Salud - OMS
</t>
  </si>
  <si>
    <t xml:space="preserve">Beneficiarios de los programas de la Subdirección Técnica de Recreación y Deportes que cumplen con las recomendaciones de la Organización Mundial de la Salud - OMS
</t>
  </si>
  <si>
    <t>1.1.5 Centros de interés en deporte</t>
  </si>
  <si>
    <t>Niños y niñas atendidos en los centros de interés en deporte</t>
  </si>
  <si>
    <t>1.1.6. Intervenciones interinstitucionales para la seguridad y convivencia en entornos donde se adelantan actividades deportivas, recreativas y de actividad física, desde la perspectiva de la participación y la cultura ciudadana.</t>
  </si>
  <si>
    <t>Intervenciones interinstitucionales para  propiciar condiciones de seguridad y convivencia en entornos donde se adelantan actividades deportivas, recreativas y de actividad física, desde la perspectiva de la participación y la cultura ciudadana.</t>
  </si>
  <si>
    <t xml:space="preserve">1.1.7. Acciones interinstitucionales de control y registro en parques priorizados en la ciudad, que aporten a la disuasión del delito y lograr entornos más seguros y confiables </t>
  </si>
  <si>
    <t>Acciones interinstitucionales de control y registro en parques priorizados en la ciudad, que aporten a la disuasión del delito y lograr entornos más seguros y confiables.</t>
  </si>
  <si>
    <t>1.1.8. Estrategias deportivas para adolescentes y jóvenes en el Marco del Modelo Pedagógico del Instituto Distrital para la Protecciòn de la Niñez  y la Juventud - IDIPRON</t>
  </si>
  <si>
    <t>Adolescentes y jóvenes participantes en las diferentes estrategias deportivas en el Marco del Modelo Pedagógico del Instituto Distrital para la Protecciòn de la Niñez  y la Juventud - IDIPRON</t>
  </si>
  <si>
    <t>1.1.9 Programa Naturaleza, Salud y Cultura</t>
  </si>
  <si>
    <t>Participantes de Actividad Física en el Programa Naturaleza, Salud y Cultura</t>
  </si>
  <si>
    <t>1.1.10 Formación de dinamizadores en el Diplomado del Programa de Naturaleza, Salud y Cultura</t>
  </si>
  <si>
    <t>Dinamizadores formados en el Diplomado del Programa de Naturaleza, Salud y Cultura</t>
  </si>
  <si>
    <t>1.1.11 Articulaciòn de Regiòn RAP-E y Regiòn Metropolitana Bogotá-Cundinamarca para incentivar el deporte la recreaciòn la actividad fìsica y el turismo en torno al uso de la bicicleta de montaña</t>
  </si>
  <si>
    <t>Actividades realizadas en articulación con las instancias de Bogotá Región RAP-E y Región Metropolitana Bogotá-Cundinamarca.</t>
  </si>
  <si>
    <t xml:space="preserve">1.2.1. Organizaciones sociales y comunitarias que promueven el deporte en ruta de fortalecimiento 
</t>
  </si>
  <si>
    <t xml:space="preserve">Organizaciones sociales y comunitarias que promueven el deporte en ruta de fortalecimiento </t>
  </si>
  <si>
    <t xml:space="preserve">1.2.2. Articulaciones generadas con el sector privado para el incremento de actividades recreativas, deportivas y de actividad física. 
</t>
  </si>
  <si>
    <t>Actividades generadas de las  articulaciones con el sector privado para el incremento de actividades recreativas, deportivas y de actividad física.</t>
  </si>
  <si>
    <t>2.1.1 Medición de la participación de la economía del sector deporte en el PIB de la ciudad</t>
  </si>
  <si>
    <t>Documentos de medición de la participación de la economía del sector deporte en el PIB de la ciudad</t>
  </si>
  <si>
    <t xml:space="preserve">2.1.2. Agenda de trabajo colaborativa para el fortalecimiento de la economía del sector del deporte, recreación y actividad física </t>
  </si>
  <si>
    <t>Eventos impulsados por el Clúster del Deporte para el fortalecimiento de la economía del sector del deporte, recreación y actividad física</t>
  </si>
  <si>
    <t>2.2.1. Servicio Social Estudiantil en los componentes de Actividad Física, Recreación y Deporte desarrollados por el IDRD.</t>
  </si>
  <si>
    <t>Grupos intervenidos que desarrollan el Servicio Social Estudiantil en los componentes de Actividad Física, Recreación y Deporte</t>
  </si>
  <si>
    <t>2.2.2.  Implementación de la etapa de talento y reserva  que contribuya al aumento de la base deportiva de Bogotá.</t>
  </si>
  <si>
    <t xml:space="preserve">Deportistas vinculados en la etapa de talento y reserva que permita la sostenibilidad deportiva de Bogotá D.C.
</t>
  </si>
  <si>
    <t xml:space="preserve">2.2.3. Articulaciones con el sector académico que permitan el intercambio de conocimientos y el desarrollo conjunto de procesos de formación y gestión del conocimiento en torno a la Actividad Física, la Recreación y el Deporte. </t>
  </si>
  <si>
    <t>Articulaciones con el sector académico que permitan el intercambio de conocimientos y el desarrollo conjunto de procesos de formación y gestión del conocimiento en torno a la Actividad Física, la Recreación y el Deporte.</t>
  </si>
  <si>
    <t>3.1.1. Investigaciones asociadas a la práctica deportiva cuyos resultados aporten a la formación integral de niños, niñas, adolescentes y jóvenes</t>
  </si>
  <si>
    <t>Investigaciones  motivacionales  y Cartografía de riesgo psicosocial realizadas en el marco de la Jornada Extraescolar</t>
  </si>
  <si>
    <t>3.1.2. Jornada de Intensificación de la Actividad Física desarrollada.</t>
  </si>
  <si>
    <t xml:space="preserve">Entornos que participan en la Jornada Distrital  de Actividad Física </t>
  </si>
  <si>
    <t>3.1.3. Oferta de actividades en la Biblioteca Pública del Deporte y la Actividad Física, para la promoción de hábitos saludables y beneficios del deporte, a través de las practicas de lectura, escritura y oralidad.</t>
  </si>
  <si>
    <t>Actividades ofertadas en la Biblioteca Pública del Deporte y la Actividad Física, para la promoción de hábitos saludables y beneficios del deporte y la actividad física, a través de las practicas de lectura, escritura y oralidad.</t>
  </si>
  <si>
    <t>4.1.1. Promoción y divulgación de campañas que incentiven la participación y la práctica deportiva.</t>
  </si>
  <si>
    <t xml:space="preserve">Programas y/o eventos deportivos  transmitidos en Canal Capital. </t>
  </si>
  <si>
    <t xml:space="preserve">4.1.2. Divulgaciòn de actividades deportivas, recreativas, actividad fìsica, parques y escenarios </t>
  </si>
  <si>
    <t>Estrategias de divulgaciòn implementadas</t>
  </si>
  <si>
    <t>4.1.3. Mecanismo para la difusión de la oferta de las localidades relacionada con programas deportivos, recreativos y de actividad física implementados para las diferentes poblaciones, en los espacios priorizados.</t>
  </si>
  <si>
    <t xml:space="preserve">Porcentaje de localidades con oferta publicada en el mecanismo </t>
  </si>
  <si>
    <t xml:space="preserve">5.1.1. Alianzas suscritas  por el IDRD para el fortalecimiento del sistema de parques y escenarios deportivos de la ciudad.  </t>
  </si>
  <si>
    <t xml:space="preserve">Alianzas suscritas para  generar mayor numero de intervención y uso de los parques y escenarios en la ciudad. </t>
  </si>
  <si>
    <t>5.1.2 Intervenciones recreodeportivas en los espacios de influencia de los Distritos Creativos.</t>
  </si>
  <si>
    <t>Intervenciones recreodeportivas en los espacios de influencia de los Distritos Creativos.</t>
  </si>
  <si>
    <t>5.1.3. Protocolo para el fomento del respeto a la diversidad poblacional y la prevención de violencias basadas en género  en los parques y escenarios administrados directamente por el IDRD</t>
  </si>
  <si>
    <t xml:space="preserve">Protocolo para el fomento del respeto a la diversidad poblacional y la prevención de violencias basadas en género  en los parques y escenarios administrados directamente por el IDRD </t>
  </si>
  <si>
    <t>5.1.4. Parques y escenarios de administración directa del IDRD con oferta de conectividad digital para sus asistentes y el equipo técnico del IDRD.</t>
  </si>
  <si>
    <t>Parques y escenarios de administración directa del IDRD con oferta de conectividad digital para sus asistentes y el equipo técnico del IDRD</t>
  </si>
  <si>
    <t>5.2.1. Estrategias de adaptación y  mitigación del cambio climático implementadas en el  sistema de parques y escenarios.</t>
  </si>
  <si>
    <t>Estrategias de adaptación y mitigación del cambio climático implementadas en el  sistema de parques y escenarios.</t>
  </si>
  <si>
    <t>5.2.2 Intervenciones de siembra, cuidado y mantenimiento del arbolado en los parques existentes</t>
  </si>
  <si>
    <t>Ejemplares Vegetales mantenidos</t>
  </si>
  <si>
    <t>REGISTRO DE SEGUIMIENTO CUALITATIVO DE PRODUCTOS</t>
  </si>
  <si>
    <t>SEGUIMIENTO DE AVANCES CUALITATIVOS Y ENFOQUES</t>
  </si>
  <si>
    <t>Cualitativo</t>
  </si>
  <si>
    <t>Enfoques</t>
  </si>
  <si>
    <t>Enfoque a Reportar</t>
  </si>
  <si>
    <t>Se realizó la aplicación de la encuesta, donde se atendieron las temáticas de prácticas deportivas, actividad física, actividades recreativas, y factores culturales que motivan a las personas a realizar cada una de estas actividades. Además se incluyó Calidad de Vida.
Radicado en Orfeo 20229100536653 
En la ultima reunión con IDRD se analizaron los resultados de la ultima encuesta de practicas deportivas y recreativas del 2022 y se identificaron preguntas relacionadas con los factores culturales asociados al deporte y la recreación. Para 2023 se va a presentar la encuesta para ajustar la siguiente medición. Acta 20229100529363</t>
  </si>
  <si>
    <t xml:space="preserve">N/A Según el plan de acción </t>
  </si>
  <si>
    <t xml:space="preserve">En el primer trimestre se reporta un avance del 0% del 30% programado para esta vigencia. No obstante se adelantan acciones para dar cumplimiento a los componentes fijados en la ficha del producto ( 1.Encuesta Bianual; 2. Campaña de Comunicación; 3. Reconocimiento) se gestiona junto con Secretaría de Cultura, la base de la encuesta de Prácticas Deportivas ya existente para ser adaptada a los servidores; para cumplir los objetivos propuestos, se preguntará sobre el estílo de vida saludable y hábitos deportivos a los servidores, la encuesta de envío masivo de respuesta por autoselección. </t>
  </si>
  <si>
    <t>El desarrollo de las actividades en el marco de los Juegos Deportivos Distritales y siguiendo los objetivos de esta política p´blica, tiene como enfoque "Derechos Humanos", en cuanto las actividades programadas son para el beneficio de la salud física y mental de las servidoras y los servidores públicos del distrito capital sin ningún tipo de restricción, apuntando a beneficiar su salud, sus hábitos deportivos y el disfrute del tiempo libre.</t>
  </si>
  <si>
    <t>En el marco  de la Politica Publica se ha avanzado en el  25% de la implementación de Promoción y fortalecimiento de la actividad física para servidoras y servidores públicos del Distrito Capital de los cuales 15%se ejecutaron durante el  tercer trimestre de la vigencia 2023 de la implementación, sustentadas en las siguientes acciones establecidas en la ficha del producto y de acuerdo con la formula del indicador:
1.Encuesta Bianual: 
1.1 Se actualiza y corrige la encuesta de acuerdo a las retroalimentaciones de los expertos y se aprueba para su publicación. Su contenido hace referencia a la información sociodemográfica, prácticas deportivas y recreativas, hábitos saludables y salud mental.  
Porcentaje de avance 2023: 5%
2. Campaña de Comunicación.
2.1 Se emiten los correos de campaña de comunicación a las servidoras y los servidores públicos para incentivar la participación de la Carrera Atlética 5K-10K de los IX Juegos Deportivos Distritales "Bogotá, La Fuerza que te Mueve" en su versión 2023, realizada el 20 de agosto de 2023.
Porcentaje de avance 2023: 10%
3. Galardón promoción actividad física: Durante la planeación de la IIIV Gala de Reconocimiento vigencia 2023, se avanzó en la comunicación con el Instituto Distrital de Recreación y Deporte - IDRD -, con el objetivo de solicitar la identificación de la entidad pública que ha promovido la actividad física entre servidores y servidoras públicas de manera constante. No obstante, el IDRD avanzó en la elaboración de una ficha técnica para realizar un concurso Distrital y posteriormente, el DASCD incluirá una categoría de reconocimiento denominada "Actividad Física", en las próximas vigencias de la Gala de Reconocimiento, teniendo en cuenta que la versión 2023, se realizó en 26 de septiembre de 2023.
Porcentaje de avance 2023: 10%</t>
  </si>
  <si>
    <t>El desarrollo de las actividades en el marco de los Juegos Deportivos Distritales y siguiendo los objetivos de esta política pública, tiene como enfoque "Derechos Humanos", en cuanto las actividades programadas son para el beneficio de la salud física y mental de las servidoras y los servidores públicos del distrito capital sin ningún tipo de restricción, apuntando a beneficiar su salud, sus hábitos deportivos y el disfrute del tiempo libre.</t>
  </si>
  <si>
    <t>En el cuarto trimestre de la vigencia 2023 se adelantan las siguientes acciones establecidas en la ficha del producto y de acuerdo con la fórmula del indicador:
1.Encuesta Bianual: 
1.1 Se realizó la difusión de la encuesta a servidores y servidoras públicas para su diligenciamiento, y posterior procesamiento de respuestas y resultados, para identificar las prácticas deportivas y recreativas, hábitos saludables y de salud mental, a través de un correo masivo dirigido a todas las entidades públicas Distritales y redes sociales del DASCD. 
Los resultados se analisarán durante el primer semestre de 2024.
Porcentaje de avance 2023: 10%
2. Campaña de Comunicación.
2.1 Durante el cuarto trimestre de 2023, se realizó la segunda campaña de comunicación, para la difusión y diligenciamiento de la encuesta de Prácticas Deportivas, dirigiada a servidores y servidoras públicas.
Porcentaje de avance 2023: 10%
3. Galardón promoción actividad física: Se solicitó al IDRD que se emita la información sobre la identificación de la entidad pública que ha promovido la actividad física entre servidores y servidoras públicas de manera constante con el fin de tenerlo en cuenta en la planeación de la gala de reconociemiento 2024.
Porcentaje de avance 2023: 10%</t>
  </si>
  <si>
    <t xml:space="preserve">En el primer semestre de la vigencia 2024 se adelantaron las siguientes acciones establecidas en la ficha del producto y de acuerdo con la fórmula del indicador:    
1. Encuesta Bianual: Se realizó el análisis de la información recolectada de la encuesta de prácticas deportivas de Servidores y Servidoras Públicas Distritales, aplicada a finales de 2023 donde se logró un informe con los respectivos resultados. En general, participaron 1059 personas en la encuesta, de estas, el 57% son mujeres y el 43% hombres, el 89% de las personas se encuentran entre 30 a 59 años.
2. Campaña de Comunicación: Se inició la campaña de comunicaciones en el mes de junio para fomentar la participación en los Juegos Deportivos Distritales 2024, en las diferentes disciplinas deportivas ofertadas. 
3 . Reconocimiento: Se avanzo con comunicaciones  al IDRD para la Gala de Reconocimiento a servidores, servidoras y colaboradoras públicas Distritales, en su versión 2024, en temas de promoción de la actividad física en las entidades Distritales.                                                                                                                                                                                                                                                                                             
</t>
  </si>
  <si>
    <t>En el marco de los Juegos Deportivos Distritales, se van a realizar actividades programadas para el beneficio de la salud física y mental de las servidoras y los servidores públicos del distrito capital sin ningún tipo de restricción, apuntando a beneficiar su salud, sus hábitos deportivos y el disfrute del tiempo libre.</t>
  </si>
  <si>
    <t xml:space="preserve"> En el segundo semestre de 2024, se adelantaron las siguientes acciones establecidas en la ficha del producto: 
1. Encuesta Bianual: No se adelantan acciones encaminadas a la ejecución en este producto para el segundo semestre de 2024 ya que fueron realizadas en el primer semestre. 
2. Campaña de Comunicación: En el segundo semestre de 2024 se hace la campaña de comunicaciones para fomentar la participación en los Juegos Deportivos Distritales 2024. La inscripciones iniciaron el 12 de agosto de 2024 en las diferentes disciplinas deportivas ofertadas y los torneos iniciaron el 2 de septiembre. 
3. Reconocimientos: No se adelantan acciones encaminadas a la ejecución en este producto para el segundo semestre de 2024, ya que se realizo en el primer semestre.
Para la vigencia 2024, se logró un avance del 50% del indicador a través de las acciones implementadas y programadas para el beneficio de la salud física y mental de las servidoras y los servidores públicos del distrito capital sin ningún tipo de restricción, apuntando a beneficiar su salud, sus hábitos deportivos y el disfrute del tiempo libre.</t>
  </si>
  <si>
    <t>Derechos Humanos</t>
  </si>
  <si>
    <t>En el primer trimestre se identificaron las mediciones cualitativas y cuantitativas que se adelantarán junto al IDRD. Se deben identificar junto a la líder de investigaciones sectoriales, cuáles de las investigaciones serían las que darán razón de la Medición de Factores culturales asociados a las prácticas recreativas y deportivas en la ciudad.</t>
  </si>
  <si>
    <t>Durante el último trimestre del 2023 se apoyó al IDRD en dos investigaciones sobre información de interés para la entidad:
Manuales de recolección de información en Ligas y Clubes deportivos</t>
  </si>
  <si>
    <t>Durante el primer semestre se  inician reuniones con el IDRD para acordar las necesidades de información en lo correspondiente a la medición de factores culturales asociados a las prácticas recreativas y deportivas en la ciudad 2024 y se hicieron lo cálculos del tamaño de muestra para la encuesta de prácticas deportivas y calidad de vida que se realizará en la vigencia.</t>
  </si>
  <si>
    <t>El producto no cuenta con enfoques</t>
  </si>
  <si>
    <t>En el segundo semestre se realizó la licitación para seleccionar la empresa que aplicaría la encuesta de prácticas deportivas y calidad de Vida 2024. El contrato 723 fue adjudicado en el último trimestre del año a la empresa Sigma Dos y se realizó la aplicación en el mes de diciembre. La encuesta fue aplicada a un total de 4549 personas de 10 años en adelante de Bogotá.
Se logró la realización de una encuesta de prácticas deportivas y calidad de vida 2024, con un total de 4549 participantes de diferentes edades.</t>
  </si>
  <si>
    <t>N/A</t>
  </si>
  <si>
    <t>El servicio Centros de Desarrollo Comunitario - CDC (anterior modalidad Desarrollo de Capacidades, derogado por Resolución 218 de 2023), dentro de sus ejes tematicos cuenta con espacios, cursos y actividades para el aprovechamiento del tiempo liberado, los cuales se desarrollan a través de la gestión de alianzas con actores públicos y privados. 
Este eje del servicio facilita, orienta y garantiza su oferta desde un enfoque de género, poblacional-diferencial y territorial. En el aprovechamiento del tiempo liberado, se busca facilitar el acceso democrático al deporte, los saberes y las expresiones culturales.
Con corte a 31 de marzo de 2023, el servicio CDC en el eje de aprovechamiento del tiempo liberado ha realizado 4.170 atenciones a personas en actividades y procesos deportivos. Lo anterior mediante las atenciones realizadas en 22 unidades operativas de 17 localidades. Entre las actividades y procesos deportivos que despertaron mayor interés encontramos: Natación, boxeo y artes marciales, gimnasia y aerobicos, y Danzas.</t>
  </si>
  <si>
    <t xml:space="preserve">El servicio CDC aplica los siguientes enfoques en su desarrollo de actividades y cursos:
Poblacional-Diferencial - Responde a las necesidades, intereses y potencialidades en temas recreo deportivos y culturales de los habitantes de cada territorio, mediante oferta variada que abarca componentes fisicos, de relajacion y culturales.
Territorial - reconoce los saberes, potencialidades y conflictos del territorio, mediante oferta de actividades y cursos que se adapta a la realidad y necesidad de cada territorio.
Género - Genera acciones y
procesos que aporten en la
transformación de patrones culturales que naturalizan relaciones de poder
inequitativas, mediante el acceso a disciplinas tradicionalmente masculinas a las mujeres (taekwondo) o viceversa (danza).
</t>
  </si>
  <si>
    <t>El servicio Centros de Desarrollo Comunitario, entre sus ejes estrategicos cuenta con espacios, cursos y actividades para el aprovechamiento del tiempo liberado, los cuales se desarrollan a través de la gestión de alianzas con actores públicos y privados. 
En este eje de aprovechamiento del tiempo liberado, se busca facilitar el acceso democrático al deporte, los saberes y las expresiones culturales, mediante un enfoque de género, poblacional-diferencial y territorial. 
Con corte a 30 de junio de 2023, el servicio CDC en el eje de aprovechamiento del tiempo liberado ha realizado 11.589 atenciones a personas en actividades y procesos recreativos y deportivos. Lo anterior mediante las atenciones realizadas en 26 unidades operativas de 20 localidades. Entre las actividades y procesos deportivos que despertaron mayor interés encontramos: Natación (3553), manualidades (1546), Gimnasia y aerobicos (1052), recreación fisica (1022), Danzas (847), Yoga (754), entre otros.
En consecuencia se cumplió con el 100% de la meta establecida.</t>
  </si>
  <si>
    <t xml:space="preserve">En el servicio CDC en su eje aprovechamiento del tiempo liberado se aplican los siguientes enfoques en su desarrollo de actividades y cursos:
Poblacional-Diferencial - Brinda dar respuesta a las necesidades, intereses y potencialidades en temas recreo deportivos y culturales de los habitantes de cada territorio, mediante la garantia de una oferta variada que abarca componentes fisicos, de relajacion, ludicos y culturales.
Territorial - Mediante el reconocimiento de los saberes, potencialidades y conflictos del territorio, mediante oferta de actividades y cursos que se adapta a la realidad y necesidad de cada uno de ellos.
Género - Genera acciones y procesos que aporten en la transformación de patrones culturales que naturalizan relaciones de poder inequitativas, mediante el acceso a disciplinas tradicionalmente masculinas a las mujeres (artes marciales) o viceversa (danza).
</t>
  </si>
  <si>
    <t>El servicio Centros de Desarrollo Comunitario - CDC (anterior modalidad Desarrollo de Capacidades, derogado por Resolución 218 de 2023), dentro de sus ejes tematicos cuenta con espacios, cursos y actividades para el aprovechamiento del tiempo liberado, los cuales se desarrollan a través de la gestión de alianzas con actores públicos y privados. 
Para este periodo, el servicio CDC en el eje de aprovechamiento del tiempo liberado ha realizado 7.039 atenciones a personas en actividades y procesos deportivos. Lo anterior mediante las atenciones realizadas en 24 unidades operativas en las 20 localidades. Entre las actividades y procesos deportivos que despertaron mayor interés encontramos: Natación, gimnasia y aerobicos, manualidades, danzas, y boxeo y artes marciales.
Este eje del servicio facilita, orienta y garantiza su oferta desde un enfoque de género, poblacional-diferencial y territorial. En el aprovechamiento del tiempo liberado, se busca facilitar el acceso democrático al deporte, los saberes y las expresiones culturales.</t>
  </si>
  <si>
    <t>El servicio CDC aplica los siguientes enfoques en su desarrollo de actividades y cursos:
Enfoque Poblacional-Diferencial - Responde a las necesidades, intereses y potencialidades en temas recreo deportivos y culturales de los habitantes de cada territorio, mediante oferta variada que abarca componentes fisicos, de relajacion y culturales.
Enfoque Territorial - reconoce los saberes, potencialidades y conflictos del territorio, mediante oferta de actividades y cursos que se adapta a la realidad y necesidad de cada territorio.
Enfoque Género - Genera acciones y procesos que aporten en la transformación de patrones culturales que naturalizan relaciones de poder inequitativas, mediante el acceso a disciplinas tradicionalmente masculinas a las mujeres (taekwondo) o viceversa (danza).</t>
  </si>
  <si>
    <t xml:space="preserve">El servicio Centros de Desarrollo Comunitario - CDC (anterior modalidad Desarrollo de Capacidades, derogado por Resolución 218 de 2023), dentro de sus ejes temáticos cuenta con espacios, cursos y actividades para el aprovechamiento del tiempo liberado, los cuales se desarrollan a través de la gestión de alianzas con actores públicos y privados. En el primer semestre del año 2024, en el servicio centros de desarrollo comunitario y tiempo propio  para personas cuidadoras, se atendieron 9147 personas , garantizando el goce efectivo de los derechos al Deporte, Recreación y actividad física,  contribuyendo al desarrollo humano y al mejoramiento continuo de la calidad de vida de los habitantes del Distrito Capital. Las actividades en las que mas participaron fueron: Actividades físicas, natación, actividades de relajación, danzas, Boxeo y artes marciales, entre otras. </t>
  </si>
  <si>
    <t>En los  servicios Centros de desarrollo comunitario y servicio tiempo propio para personas cuidadoras en el primer semestre  del año 2024,   se desarrollaron actividades  deportivas, de  recreación, y la actividad física  en las 20 Localidades del Distrito incorporando los diferentes enfoques:
Enfoque de Género: Se permitió comprender, desde una perspectiva de interseccionalidad, las relaciones de poder y desigualdad que existen entre mujeres y hombres y que se reproducen a través de imaginarios, creencias, roles y estereotipos, promoviendo la igualdad de género y el goce efectivo de los derechos .                                                                                                                                                                                                                     
Enfoque  Poblacional /diferencial:   La oferta se prestó a través de los CDC  visibilizando  las particularidades y las necesidades de las personas pertenecientes a los diversos colectivos, con el fin de garantizar a  las personas el goce efectivo de sus derechos libremente.                                                                                                                                                                                   
Enfoque  Territorial:  La oferta se prestó a través de los CDC y donde no se tenía infraestructura como CDC se realizó a través de las Subdirecciones Locales,  garantizando a toda su población el efectivo goce y disfrute del derecho a la recreación, deporte, actividad física y escenarios recreo deportivos equitativamente.                                                                                                                                                                                                                 
Enfoque Ambiental: Dentro de las actividades que se realizaron con los participantes se creó conciencia respecto a la responsabilidad de preservar, cuidar y mejorar el ambiente natural de los parques y los escenarios recreativos y deportivos de cada localidad del Distrito Capital.</t>
  </si>
  <si>
    <t>En el marco del servicio Centros de Desarrollo Comunitario - CDC, en el componente de Universalización de las Artes, Recreación, Deporte y Cultura y en cumplimiento del Proyecto de Inversión 7947, durante el segundo semestre del año 2024 se atendieron 4.418 personas en actividades y procesos deportivos, de recreación y de actividad física, dentro del eje de aprovechamiento del tiempo liberado de la modalidad Desarrollo de Capacidades para la Generación de Oportunidades. Estas actividades buscan contribuir al desarrollo humano integral y al mejoramiento de la calidad de vida de los habitantes del Distrito Capital, promoviendo estilos de vida saludables, el fortalecimiento de capacidades personales y sociales, y el acceso efectivo a derechos culturales. 
Entre las actividades con mayor participación se destacaron Natación 1426, Boxeo y Artes Marciales 583, Gimnasia y/o Aeróbicos 572, Futbol 336, Patinaje 275, Recreación Física 273, Yoga 239, Voleibol 233, Lúdico Recreo Deportivas 212, Juegos Tradicionales y Populares 154, Lúdicas 87, Baloncesto 18, Juegos de Mesa 7, Ajedrez 3.
Este balance evidencia el impacto positivo del programa en la comunidad, permitiendo que habitantes de diversas localidades accedan a espacios adecuados para el aprovechamiento del tiempo libre, la práctica deportiva y cultural, y el fortalecimiento del tejido social.</t>
  </si>
  <si>
    <t>Género: durante este periodo, en los Centros de Desarrollo Comunitario (CDC) se garantizó que todas las personas, sin importar su condición socioeconómica, edad, género o discapacidad, pudieran acceder a los espacios ofrecidos, promoviendo la igualdad de oportunidades. Se priorizó la atención con un enfoque de género, asegurando que la oferta de servicios fuera inclusiva y respetuosa de las diversidades, garantizando su participación activa en actividades que fomentaron su desarrollo personal y social.
Poblacional - Diferencial: en este periodo, se priorizó la atención a grupos poblacionales en situación de vulnerabilidad, asegurando que recibieran el acompañamiento necesario para su participación activa en las actividades. De las 4.418  atenciones, 132 correspondieron a personas de comunidades migrantes, 196 personas con alguna discapacidad, 88 victimas del conflicto armado, 65 personas pertenencientes a grupos etnicos, quienes encontraron en los CDC un espacio seguro y de integración social.
Territorial: la oferta de servicios de los CDC se brindó en todo el territorio nacional, asegurando que todos los ciudadanos tuvieran acceso equitativo a actividades de recreación, deporte y actividad física, además de garantizar el disfrute de los derechos en escenarios recreo-deportivos. En las zonas donde no existía infraestructura CDC, se contó con el apoyo de las Subdirecciones Locales, asegurando la integración de la población a través de las dinámicas recreativas, deportivas y culturales. En total, las atenciones estuvieron distribuidas por localidades: Usaquén 1000, Kennedy 944, San Cristóbal 533, Usme 497, Santa Fe 462, Candelaria 405, Tunjuelito 87, Sumapaz 87, Puente Aranda 87, Suba 79, Rafael Uribe 59, Ciudad Bolívar 58, Bosa 44, Los Mártires 39, Chapinero 32, Antonio Nariño	 5, donde participaron en encuentros deportivos y jornadas al aire libre, promoviendo la apropiación de los espacios públicos y la construcción de redes de apoyo comunitario. Estas actividades fueron apoyadas por 25 entidades públicas y privadas, fortaleciendo la articulación interinstitucional y garantizando la sostenibilidad de los procesos. 
La implementación de estos enfoques ha permitido que los Centros de Desarrollo Comunitario se consoliden como espacios inclusivos y equitativos, que promueven la participación activa de los ciudadanos en actividades que contribuyen a su bienestar integral y al fortalecimiento de sus capacidades. Esto ha impactado positivamente en la calidad de vida de las comunidades del Distrito Capital.</t>
  </si>
  <si>
    <t>Poblacional-diferencial, territorial, género</t>
  </si>
  <si>
    <t xml:space="preserve">En el primer trimestre de 2023, se realizaron acciones de gestión como el diseñó de la estrategia de medición para ser desarrollada durante en la presente vigencia, esta incluyó: a) el muestreo estadístico de los programas, b) la conformación de un equipo base de instructores/evaluadores y c) el desarrollo de un programa de capacitación teórico-práctico sobre temáticas de recomendaciones de práctica de actividad física según la OMS, salud mental, aptitud cardiorrespiratoria, fuerza y composición corporal, además de entrenamiento en procesos y procedimientos de medición en investigación en las temáticas anteriormente descritas. </t>
  </si>
  <si>
    <t>La medición estará dirigida a las y los beneficiarios de los diferentes programas recreativos, deportivos y de actividad física de la Subdirección Técnica de Recreación y Deportes.</t>
  </si>
  <si>
    <t xml:space="preserve">En el tercer trimestre del año 2023 se completó recolección de información para 2.125 usuarios (as) mayores de edad de los programas del proyecto de inversión 7852 – Construcción de Comunidades Activas y Saludables.  
Respecto a la caracterización de la práctica de actividad física el 24% de los usuarios reportó la bicicleta y el 92.9% la caminata como medio de transporte frecuente. El 64.4% de los encuestados refirió practicar actividad física vigorosa y el 67.6% actividad física moderada en los últimos 7 días. El 77.7% de los usuarios (as) reportó el uso de pantallas (computador, smartphone, televisor) en su tiempo de descanso durante los 7 días de la semana. 
En cuanto a la medición de los proyectos de inversión 7851, 7850 y 7854, se realizará la aplicación de los instrumentos en el último trimestre, para lo cual se capacitarán a las personas encargadas de su aplicación y se establecerá un cronograma de trabajo para cada proyecto de inversión. </t>
  </si>
  <si>
    <t>Para el indicador de cumplimiento de recomendaciones, se analizó una muestra parcial de 917 usuarios (corte a junio de 2023) equivalente al 43% de la muestra recolectada. Esta población evaluada reporta cumplimiento de recomendaciones de 86%, siendo ligeramente mayor en las mujeres (87%) sobre los hombres. Respecto al indicador tiempo sedentario excesivo se estableció que el 81% de la población encuestada gasta más de 2 horas al día en tiempo de exposición a pantallas como indicador de comportamiento sedentario. 
De esta manera se puede evidenciar que las poblaciones que influencia el proyecto de inversión presentan en alto grado, el cumplimiento de recomendaciones de práctica de actividad física que, en conjunto con factores como la ampliación de la oferta y cobertura de programas y servicios, permiten establecer el aporte a la meta de plan de desarrollo en el aumento del porcentaje de bogotanos (as) que practican actividad física y deporte. Así, mismo este cumplimiento de recomendaciones ha venido en incremento desde el año 2021 según se puede evidenciar en los resultados obtenidos del indicador medido, comparativo 2021-2023 (parcial).</t>
  </si>
  <si>
    <t xml:space="preserve">Tomando como referencia los valores obtenidos en la dimensión de tiempo libre evaluados por el Internacional Physical Activity Questionarie IPAQ y excluyendo los programas relacionados directamente con la promoción del transporte activo el indicador para el año 2023, es de 84.4%.
Es importante anotar que, para la estimación de este indicador, se tomó el aporte principal del proyecto de inversión 7852 como aquel que concentra la mayor cantidad de actividades que se orientan a la realización de actividad física en tiempo libre y promoción del transporte. Sin embargo, de manera complementaria los demás proyectos de inversión (7851,780 y 7854) aportan de manera transversal a este indicador a partir de sus diferentes programas. A continuación, se presentará cada uno de los proyectos de inversión en la estimación de este indicador.
Durante el último trimestre se tomó las mediciones con los beneficiarios de los programas deportivos, llegando a un total de 71.013 personas, a las cuales se les practicó las encuestas y se hizo el seguimiento. 
</t>
  </si>
  <si>
    <t>Los resultados aquí presentados en el informe evidencian algunos elementos claves a resaltar. Por un lado, las acciones aquí detalladas por cada proyecto de inversión están volcadas a incentivar y promover la actividad física de los y las usuarias que atienden a estas actividades. Por esta razón, los resultados del indicador resultan favorables toda vez se pueden evidenciar acciones concretas que mediante programas guiados, equipos formados y presencia a nivel de ciudad en las diferentes localidades y UPZ. De otra parte, estos resultados pueden variar teniendo en cuenta elementos asociados a la permanencia, adherencia y tipo de usuario que hace parte de las actividades que se ofertan, es decir, no es lo mismo contar con un ciudadano que no esté directamente fidelizado o su actividad sea más esporádica comparado con una persona que tenga actividad física recurrente según su adhesión a un deporte o entrenamiento orientado particular.
Dicho esto, como parte de las oportunidades de mejora se deberá establecer una diferenciación por tipología de usuarios con el fin de establecer el cumplimiento según sus niveles de intensidad en la Actividad Física.</t>
  </si>
  <si>
    <t>Conformación de un equipo de investigación de la Subdirección Técnica de Recreación y Deporte para la realización de la investigación que realizara todo el proceso a las y los beneficiarios de  los programas, teniendo en cuenta las recomendaciones brindadas de la OMS. Producto programado a desarrollarse en el segundo semestre de 2024, en el marco de los nuevos proyectos de inversión del PDD Bogotá Camina Segura. 8154 - Implementación de los programas de BOGOTÁ DEPORTIVA desde la iniciación hasta el rendimiento en Bogotá D.C. y  8155 - Desarrollo de programas recreativos y de actividad física en Bogotá D.C.</t>
  </si>
  <si>
    <t xml:space="preserve">Para implementar los enfoques al producto en el segundo semestre se seguirán las siguientes acciones estratégicas: identificación y selección de beneficiarios, asegurando que la selección de beneficiarios incluya a todas las edades, géneros, etnias y personas con discapacidad, en donde se focalicen beneficiarios de diferentes programas. De otra parte, se desarrollará el enfoque metodológico en lo correspondiente a la recolección de datos, monitoreo y evaluación; buscando formas de garantizar la participación comunitaria. </t>
  </si>
  <si>
    <t>Durante el II semestre, se avanzó en el muestreo estadístico, en la construcción de instrumentos de recolección de información, en la elaboración del cuestionario de medición de práctica de actividad física y comportamiento sedentario, en la construcción del cuestionario de medición de práctica de actividad física para Niños, Niñas y Adolescentes. Esto con el fin de cumplir con las recomendaciones de la Organización Mundial de la Salud (OMS), la cual ha establecido recomendaciones globales de actividad física a lo largo de toda la vida, que incluyen a niños, adolescentes, adultos, adultos mayores, gestantes y personas con enfermedades crónicas o discapacidad. Estas directrices subrayan que "cada movimiento cuenta para mejorar la salud" y detallan la frecuencia, intensidad y duración de la actividad física recomendada para reducir riesgos y mejorar la salud. Específicamente, la OMS sugiere que los adultos realicen entre 150 y 300 minutos de actividad física aeróbica de intensidad moderada, o entre 75 y 150 minutos de actividad vigorosa por semana. Para niños y adolescentes, se recomienda un promedio de 60 minutos diarios de actividad física moderada. 
Logro: Para el 2024 la muestra estuvo conformada por 5.212 usuarios(as) de los cuales 2.223 (42.6%) fueron NNA entre los 10 a 18 años. La muestra fue estimada estadísticamente considerando un margen de error del 5% y un nivel de confianza del 95%, tomando como base el universo poblacional registrado en los programas y estrategias de la STRD.  La inactividad física y el comportamiento sedentario son factores de riesgo que afectan la salud física y mental en todas las edades. La Organización Mundial de la Salud (OMS) ha establecido recomendaciones para combatir estos problemas, sugiriendo entre 150 a 300 minutos de actividad física moderada o vigorosa por semana para adultos, y al menos 60 minutos diarios para niños y adolescentes. En Colombia, solo el 33% de la población cumplía con estas recomendaciones en 2015, lo que motivó al Instituto Distrital de Recreación y Deporte (IDRD) a implementar tres proyectos enfocados en promover la actividad física en diferentes grupos poblacionales. Estos proyectos son "Bogotá Se Activa", "Formación Integral" y "Bogotá Deportiva", cada uno con un enfoque específico hacia la población general, niños y adolescentes, y adultos, respectivamente.
Nota: Debido a cambios estratégicos en los métodos de medición, se ha ajustado a la baja la meta programada para 2024, considerando el enfoque, la estructura, los objetivos y la población beneficiaria de cada proyecto e inversión. No obstante, este ajuste no impacta la meta total, ya que en 2023 se realizó una sobreejecución.</t>
  </si>
  <si>
    <t xml:space="preserve">Enfoque Poblacional - Diferencial: Este enfoque se implementa considerando las características específicas de cada grupo etario y poblacional, ajustando tanto los instrumentos de medición como las preguntas a las particularidades de cada segmento. Para ello, se desarrollaron herramientas diferenciadas que contemplan las recomendaciones de la OMS sobre la actividad física, garantizando que cada grupo, desde niños hasta personas mayores, reciba la medición adecuada según sus necesidades, buscando asegurar que las mediciones reflejen de forma precisa los comportamientos y necesidades de cada población. Se tuvieron en cuenta las características poblacionales de las y los beneficiarios de tres proyectos de inversión, cada uno diseñado para atender las necesidades particulares de diferentes grupos de la población. El proyecto "Bogotá Se Activa" se orientó a la población general, promoviendo actividades recreativas y físicas accesibles para todos. Por otro lado, "Formación Integral" se centró en niños, niñas y adolescentes (NNA) en etapa escolar, así como en niños de 0 a 5 años, adaptando las estrategias a las características de estas edades y su contexto educativo. Finalmente, el proyecto "Bogotá Deportiva" se focalizó en NNA y adultos, con un enfoque en el deporte de alto rendimiento y el deporte comunitario para la paz, atendiendo tanto a personas con aspiraciones deportivas como a quienes participan en actividades recreativas. Esto permitió personalizar el tipo de medición y maximizar el impacto de las estrategias de actividad física según las características y necesidades de cada grupo poblacional.
Enfoque de Género: se garantiza que tanto hombres como mujeres sean evaluados de manera equitativa, considerando las diferencias biológicas, sociales y culturales que puedan influir en sus patrones de actividad física. Las herramientas de medición fueron diseñadas para capturar estas diferencias, asegurando que las intervenciones sean inclusivas y sensibles a las realidades de género.
Enfoque Territorial: Las encuestas se aplicaron a usuarios y usuarias de diversos programas del IDRD, lo que permitió obtener muestras representativas de varias localidades. </t>
  </si>
  <si>
    <t>Poblacional-diferencial, género, territorial</t>
  </si>
  <si>
    <t>Se ha venido atendiendo estudiantes en los centros de interés de deporte escolar en el marco de los convenio con las entidades aliadas compensar e IDRD de acuerdo a las propuestas pedagógicas de las entidades y la SED de acuerdo a las disciplinas definidas en los convenios. No obstante es importate tener en cuenta que al ser un indicardor con medición anual, aún no se cuenta con la información cuantitativa para realizar el reporte.</t>
  </si>
  <si>
    <t>Pormedio de los centros de interés se atiendes a niños y niñas de 05 a 13 años de edad</t>
  </si>
  <si>
    <t>Se mantiene la atencion a estudiantes en los centros de interés de deporte escolar en el marco de los convenios con las entidades aliadas COMPENSAR e IDRD de acuerdo a las propuestas técnico pedagógicas de las entidades y la SED. No obstante es importate tener en cuenta que al ser un indicardor con medición anual, aún no se cuenta con la información cuantitativa ni las evidencias para realizar el reporte.</t>
  </si>
  <si>
    <t>Los centros de interés de deporte escolar van dirigidos a niños, niñas, adolescentes y jovenes de los ciclos 1, 2, 3 y 4, con edades promedio entre los 6 a 15 años.</t>
  </si>
  <si>
    <t xml:space="preserve">Se da continuidad a la atención a estudiantes en los Centros de Interés (CI) de deporte escolar en el marco de los convenios con las entidades aliadas COMPENSAR e IDRD, Estas colaboraciones se llevan a cabo de acuerdo con las propuestas técnico-pedagógicas establecidas tanto por las entidades aliadas como por la Secretaría de Educación Distrital (SED). A partir de estos se brinda una oferta deportiva enriquecida y diversificada, proporcionando a los estudiantes la posibilidad de otros espacios y el aprovechamiento del tiempo escolar, fomentando no solo el bienestar físico, sino que también el desarrollo de competencias ciudadanas, emocionales, cognitivas.
A través de estos centros, se ha logrado un impacto significativo en el desarrollo integral de los niños, niñas y adolescentes participantes, quienes no solo han mejorado su bienestar físico desde la particularidad de las disciplinas deportivas; sino que también han fortalecido competencias ciudadanas como el relacionamiento, el autocuidado; habilidades cognitivas que posibilitan la creación de ambientes de aprendizaje en los cuales dan procesos de análisis, reflexión y toma de decisiones etre otras habilidades esenciales para la formación de los estudiantes que participan en los centros de interes CI de deporte escolar, ademas contribuyen desde su implementacion al cierre de brechas y al mejoramiento de la calidad. Es importante destacar que estos procesos han tenido un seguimiento operativo, técnico, pedagógico y evaluados de manera cualitativa, siguiendo los lineamientos de la Circular 004 del 2015, lo que ha permitido realizar ajustes necesarios para asegurar que las propuestas mantengan su alineación con los objetivos pedagógicos establecidos y se adapten a las necesidades de los estudiantes. Hasta la fecha, los resultados observados en los CI reflejan la sinergia creada a través de estos convenios facilitando una armonización de los procesos educativos y deportivos, permitiendo una mejor articulación de las actividades propuestas y una optimización de los recursos disponibles. Este enfoque integrado no solo ha beneficiado a los estudiantes al ofrecerles un entorno de aprendizaje más cohesionado y enriquecedor, sino que también ha fortalecido la capacidad de las instituciones involucradas para proporcionar un servicio de alta calidad. </t>
  </si>
  <si>
    <t xml:space="preserve">Los Centros de Interés de Deporte Escolar están diseñados para acoger a niños, niñas, adolescentes y jóvenes de los ciclos 1, 2, 3 y 4, con edades que oscilan entre los 6 y 15 años. El compromiso es brindar un espacio inclusivo y accesible para todos, donde cada participante, sin importar su origen, género, o condición, pueda explorar y desarrollar sus habilidades deportivas. Estos centros se caracterizan por su apertura y respeto hacia la diversidad, asegurando que cada niño, niña, adolescente o joven reciba la atención y el apoyo necesarios para crecer en un entorno que celebra sus diferencias y potencia sus fortalezas. Entendiendo que todos son bienvenidos, y todos encuentran en un lugar donde el deporte se convierte en una herramienta para la formación integral y el bienestar, acogiendo estrategias metodológicas que respondan a los diferentes ritmos y estilos de aprendizaje.
</t>
  </si>
  <si>
    <t>En el II semestre de 2024, la implementación de los centros de interés en deporte escolar consolidó su impacto positivo en las instituciones educativas distritales IED, beneficiando a niños, niñas y adolescentes de la ciudad. Gracias al compromiso conjunto entre la Secretaría de Educación del Distrito y las entidades aliadas, Compensar e IDRD, se lograron resultados significativos, superando las metas propuestas en deporte escolar, lo que evidencia un crecimiento sostenido en la demanda y el interés por las actividades deportivas escolares. Estas estrategias de ampliación del tiempo escolar afirman la importancia de esta implementación de Centros de interés deportivos diseñados para fomentar el desarrollo de competencias físicas, sociales y cognitivas, promoviendo además la convivencia, el cierre de brechas educativas y el mejoramiento de la calidad en el entorno escolar. Estas acciones han demostrado la oferta de ambientes de aprendizaje seguros y enriquecedores para la formación integral de los estudiantes, desde la articulación interinstitucional entre las partes para garantizar la sostenibilidad de esta oferta, optimizando recursos y fortaleciendo capacidades en beneficio de los estudiantes, con el objetivo de continuar potenciando el deporte escolar como una herramienta clave para su desarrollo y bienestar.</t>
  </si>
  <si>
    <t>En 2024, los Centros de Interés de Deporte Escolar continuaron posicionándose como espacios inclusivos y accesibles, diseñados para atender a niños, niñas, adolescentes y jóvenes de los ciclos 1, 2, 3 y 4, con edades entre los 6 y 15 años, logrando en la vigencia un total de 30973 en donde 14.771 fueron mujeres y 16.202 hombres. Este enfoque amplio y equitativo aseguró que cada participante, sin importar su origen, género o condición, encontrara un lugar donde pudiera explorar y desarrollar sus habilidades deportivas en un entorno que valora la diversidad y fomenta el respeto mutuo a través de estrategias metodológicas adaptadas a distintos ritmos y estilos de aprendizaje, se promovió el acceso igualitario al deporte como una herramienta de formación integral y bienestar. De esta manera, los centros reforzaron su compromiso de brindar oportunidades para todos, celebrando las diferencias y potenciando las fortalezas individuales de cada estudiante, reafirmando el deporte como un medio transformador que construye comunidad y fortalece el tejido social.</t>
  </si>
  <si>
    <t>Poblacional-diferencial</t>
  </si>
  <si>
    <t>En el marco del Plan Integral de Seguridad Ciudadana, Convivencia y Justicia -PISCCJ-, específicamente para las 20 localidades del distrito y en articulación con las Alcaldías Locales se diseñó un plan territorial que incluye acciones de control que permiten mitigar las problemáticas que fomentan el actuar delincuencial y comportamental de las personas, buscando además fortalecer la presencia institucional en los entornos de parques y garantizar así la seguridad de los ciudadanos y ciudadanas.
En esa medida se adelantaron en lo corrido del año, diferentes acciones diurnas y nocturnas encaminadas a mitigar la comisión de conductas delictivas en los parques de las 20 localidades de la ciudad, a través de la articulación con entidades del orden nacional o distrital con el fin de atender requerimientos ciudadanos en los entornos de los parques. Con la intervención en parques se ha logrado resignificar un espacio vital gracias a la corresponsabilidad de actores estratégicos como, las redes de cuidado, las empresas privadas, establecimientos comerciales y los sectores educativos. 
El trabajo territorial constante ha permitido incluir acciones que facilitan trabajar de manera conjunta en la solución de problemáticas que afectan la seguridad en estos entornos de la ciudad. Para ello a continuación, se enuncian algunos de los logros y resultados alcanzados:
•        Lectura de las problemáticas de seguridad y convivencia según localidad y así lograr consolidar informes de dinámica delictiva para el posterior impulso procesal en la desarticulación de estructuras delincuenciales.
•        Recorridos y trabajo de campo con equipos territoriales de la Secretaría de Seguridad para evaluación de acciones en terreno. 
•        Mesas de trabajo con los alcaldes locales logrando corresponsabilidad para fortalecer acciones en los parques desde la misionalidad de los fondos de desarrollo local.
•        Reuniones con el equipo del proyecto Metro para unificación de acciones entre en los entornos de parques.
•        Reuniones con sector comercial socializando proyecto de intervención - 14 entidades comerciales vinculadas, entre ella grupo Éxito.</t>
  </si>
  <si>
    <t>El enfoque territorial permite llevar a las localidades acciones de control que propenden por la prevención y mitigación de delitos que afectan la vida y la integridad personal de los ciudadanos a través de instrumentos técnicos y de lectura contextual como el índice de priorización que arrojan datos de sectores catastrales, tipos y puntos de concentración del delito que fundamentan la coordinación y direccionamiento de actividades interinstitucionales que respondan a las dinámicas delictivas para la interrupción de las mismas en cada territorio de la ciudad; todo lo anterior con miras a construir entornos y espacios más seguros para el disfrute de actividades deportivas y recreativas.</t>
  </si>
  <si>
    <t xml:space="preserve">En el primer trimestre del año, desde la estrategia de Parques se avanzó en la priorización y segmentación de territorios a intervenir en el 2023. Esta priorización se realizó de acuerdo con el comportamiento de las variables de seguridad y convivencia para lograr con ello zonas más seguras para la ciudadanía. Sin embargo, en el trimestre no se alcanzo a realizar actividades de orden interinstitucional. No obstante, estas acciones iniciarán desde el segundo trimestre. </t>
  </si>
  <si>
    <t xml:space="preserve">Enfoque territorial: La priorización de escenarios a intervenir tuvieron como base la atención a zonas con altos indicadores de comportamientos contrarios a la convivencia, por lo cual se espera que estas acciones mejoren la seguridad y la convivencia en estos lugares. </t>
  </si>
  <si>
    <t xml:space="preserve">Durante el tercer trimestre del 2023, la estrategia de Parques realizó 6 Jornadas comunitaria y/o institucional, para la resignificación y/o apropiación de parques y/o espacios públicos priorizados. Estas acciones tienen como objetivo brindar una presencia territorial de gestores de convivencia en estos espacios públicos desarrollando acciones de información y comunicación dirigidas a la prevención del hurto, prevención de riñas y prevención de VBG. De igual manera, en articulación con entidades del orden Distrital y diferentes estrategias de la SDSCJ se realizaron torneos nocturnos, calles mágicas y justicia al barrio, acciones que tenían como fin activar el uso del parque, darle un sentido de pertenencia a los usuarios de este y mitigar problemas de seguridad. Para el último trimestre del año, se espera activar más parques y utilizar las vacaciones y navidad para incentivar el uso de estos equipamientos y mejorar la seguridad. </t>
  </si>
  <si>
    <t xml:space="preserve">Territorial: Cada actividad realizada posibilitaba en la comunidad su empoderamiento para el reconocimiento de los tipos delitos y comportamientos contarios a la convivencia. Buscando mitigar toda forma de discriminación social. En las actividades ejecutadas se logró impactar a personas en diferentes ciclos vitales, de distintos grupos poblacionales, que demarcan todos los sectores sociales promocionando a la equidad con acciones incluyentes. </t>
  </si>
  <si>
    <t>Dentro del principio de responsabilidad social entendida de la necesidad de implementar acciones sociales en favor de la población y de la ciudad, así como de contribuir al desarrollo humano y al mejoramiento continuo de la calidad de vida de los habitantes del Distrito Capital, dentro de la priorización por parte de la SDSCJ, se logró en el cuarto trimestre la realización de 62 jornadas comunitarias y/o institucional, para la resignificación y/o apropiación de parques y/o espacios públicos en las localidades de la Ciudad capital</t>
  </si>
  <si>
    <t xml:space="preserve">Para el primer trimestre del 2024, se implementaron acciones sociales en favor de la población y de la ciudad, dentro del principio de responsabilidad social, para la contribución al desarrollo humano y al mejoramiento continuo de la calidad de vida de los habitantes del Distrito Capital. Dentro de la priorización por parte de la SDSCJ, se realizo una jornada comunitaria y/o institucional en la localidad de  Antonio Nariño , para la resignificación y/o apropiación de parques y/o espacios públicos en las localidades de la Ciudad capital, donde se contó con la participación de gestores territoriales de la SDSCJ, la Policía Nacional y un equipo de la Alcaldía Local de Antonio Nariño. </t>
  </si>
  <si>
    <t xml:space="preserve">Las acciones desarrolladas se encuentran enmarcadas desde el enfoque Territorial,  espacios donde las personas participantes de la comunidad identifican las particularidades de su barrio y sus entornos, teniendo en cuenta que,  son parte fundamental  en el cuidado y mantenimiento del mismo, ejercicio que permite propender por  un relacionamiento de respeto y de reconocimiento de los comportamiento contrarios a la convivencia. </t>
  </si>
  <si>
    <t>Durante el segundo trimestre, se realizaron 22 jornadas comunitarias en los parques priorizados de cada localidad, orientadas por los equipos territoriales de la SDSCJ. Donde se logro que las comunidades que viven en los entornos de los parques, se apropien de los escenarios como mecanismo de resignificación del espacio público y una forma de mitigación de los delitos, violencias o conductas contrarias a la convivencia, a través de actividades de embellecimiento, limpieza y recuperación de los mismos.</t>
  </si>
  <si>
    <t>Las acciones desarrolladas lograron construir colectivamente los procesos de apropiación del espacio público, generando confianza y empoderamiento ciudadano para la defensa y reconocimiento de sus intereses y los de la ciudad. Estas jornadas se realizaron en las localidades de Kennedy, Puente Aranda, Los Mártires, Engativá, Usaquén, Antonio Nariño, Suba, Rafael Uribe Uribe, La Candelaria, Usme, San Cristóbal, Tunjuelito, Bosa y Teusaquillo.</t>
  </si>
  <si>
    <t xml:space="preserve">Durante el segundo semestre, desde la Dirección de Prevención y Cultura Ciudadana, se logró realizar 63 jornadas de intervención interinstitucional para la resignificación y apropiación de parques con participación de la ciudadanía en 19 localidades del distrito, teniendo participación en su mayoría de niños, niñas, adolescentes y adultos mayores, con quienes se llevaron a cabo acciones de limpieza, siembra de plantas, creación de huertas comunitarias y embellecimiento a través del mantenimiento de la infraestructura y pintura, algunas de estas jornadas fueron desarrolladas en articulación interinstitucional con las Alcaldías locales y la S. de Hábitat en el marco de la estrategia de “Territorios mágicos”. Asimismo, desde la Secretaría de Seguridad, Convivencia y Justicia, sensibilizó acerca de la importancia del buen uso y el cuidado del espacio público y los parques del distrito al ser lugares de encuentro, goce y disfrute para la ciudadanía en general, por ello, se hace necesario la unión comunitaria y la promoción de uso de estos espacios a través del deporte y la recreación, siendo clave para la disuasión de prácticas delictivas en dichos espacios al mostrar una apropiación colectiva de los parques públicos y el espacio público. 
Sobre la sobreejecución en 6 jornadas, se debió qué se tuvo la posibilidad de realizar más jornadas para fortalecer la presencia institucional en entornos donde se realizan actividades deportivas y recreativas. 
En el cumplimiento de la meta se logró,  86  intervenciones interinstitucionales en parques de las localidades donde se realizaron acciones de manera colaborativa entre institución y comunidad para embellecimiento y cuidado de los parques como espacio de disfrute público. Se resalta la disposición de la ciudadanía para trabajar por la mejora y mantenimiento de su entorno.
</t>
  </si>
  <si>
    <t>Desde el enfoque territorial se desarrolla una identificación de prácticas y dinámicas propias de cada comunidad que desarrollan cotidianamente en los parques y el espacio público, siendo este el punto de partida para la identificación de acciones a realizar en dichos espacios, en aras de atender las necesidades a través de la intervención interinstitucional con una oferta ambiental, deportiva y/o cultural, para la resignificación y apropiación de los parques según el aprovechamiento que se de por la comunidad del sector. Las intervenciones interinstitucional para la resignificación y apropiación de parques con participación de la ciudadanía se realizaron en 19 localidades del distrito, teniendo participación en su mayoría de niños, niñas, adolescentes y adultos mayores.</t>
  </si>
  <si>
    <t>Territorial</t>
  </si>
  <si>
    <t>El Área de Deportes durante el 2022 funcionó en las unidades de Protección Integral La 32, Perdomo y en las unidades de Bosa, Molinos y Arcadia (se realizaron intervenciones por días). El equipo de trabajo con el que se contó estaba integrado por un (1) Administrador Deportivo (coordinador), tres (3) profesionales en entrenamiento deportivo, tres monitores (referentes de los procesos). Dos propósitos tuvo el equipo en el 2022; consolidar el área de derecho en el rediseño institucional y atender a la población.
Con la conformación del equipo de trabajo se proyectaron actividades a partir de los parámetros de entrenamiento, intercambio y concentración. Los deportes promovidos fueron el boxeo, fútbol, fútbol de salón, jiu-jitsu, break dance, ajedrez y levantamiento de pesas. Para la práctica de los deportes el instituto realizo inversión en la compra de materiales deportivos para el área de deportes y pedagogía donde funciona el Colegio del IDIPRON</t>
  </si>
  <si>
    <t xml:space="preserve">Durante el año 2022 el área de deporte del IDIPRON registra un total de 796 contactos únicos de niños, niñas, adolescentes y jóvenes. La estadística de atenciones suma 4942 en las actividades desarrolladas en las Unidades de Protección Integral de la 32, Perdomo y Bosa. </t>
  </si>
  <si>
    <t xml:space="preserve">Durante el periodo se avanza en la planeación y ejecución de aciones de control en parques con consumo y presunto tráfico de estupefacientes; estas actividades que se realizan en articulación con la Policía Nacional concentran acciones de registro y control, así como de verificación de antecedentes judiciales a ciudadanos, lo que permite paulatinamente promover espacios más seguros para la realización de actividades deportivas y recreativas en estos entornos.  
Este avance en acciones territoriales ha buscado mitigar e intervenir la dinámica delictiva a partir de una priorización estratégica de las intervenciones de acuerdo con el comportamiento de las variables de seguridad y convivencia para lograr con ello zonas más seguras para la ciudadanía.  
 Es por ello que durante el periodo se continuó avanzando en la focalización de acciones gracias a la gestión interinstitucional territorial realizada. </t>
  </si>
  <si>
    <t>Las intervenciones realizadas en los entornos durante el periodo, contribuyen a la calidad de vida de los bogotanos por cuanto favorecen las garantías para el ejercicio libertades y deberes ciudadanos mediante la presencia y acción institucional en los territorios.
Enfoque Territorial: Para la realización de acciones en las localidades y entornos requeridos la SDSCJ elaboró un índice compuesto con el objetivo de priorizar las intervenciones que se realizan en los territorios, a partir del análisis de variables delictivas, contravencionales y de violencias presentes en los diferentes niveles territoriales de la ciudad, de tal forma que permita la reducción de los delitos de manera diferencial.
Enfoque de Derechos: las actividades realizadas tienen principal propóstito la promoción y garantia de derechos de las y los ciudadanos en cada territorio, en tanto buscan generar entornos más seguros para el disfrute pleno de los mismos y dignificar aquellos entornos de encuentro comunitaro que toman principal relevancia en el camino hacia la reconstrucción del tejido social indistintamente de aspectos etnicos, poblacionales, socioeconomicos o etáreos.</t>
  </si>
  <si>
    <t xml:space="preserve"> En el tercer trimestre se avanzó con la ejecución de 413 acciones territoriales de control en parques con consumo y presunto tráfico de estupefacientes; estas actividades que se realizan en articulación con la Policía Nacional concentran acciones de registro y control, así como de verificación de antecedentes judiciales a ciudadanos, lo que permite paulatinamente promover espacios más seguros para la realización de actividades deportivas y recreativas en estos entornos. 
Este avance en acciones territoriales ha buscado mitigar e intervenir la dinámica delictiva a partir de una priorización estratégica de las intervenciones de acuerdo con el comportamiento de las variables de seguridad y convivencia para lograr con ello zonas más seguras para la ciudadanía. 
Así, durante el periodo de reporte, se continuó avanzando en la focalización de acciones gracias a la gestión interinstitucional territorial realizada.</t>
  </si>
  <si>
    <t>Las intervenciones realizadas en los entornos durante el periodo, contribuyen a la calidad de vida de los bogotanos por cuanto favorecen las garantías para el ejercicio libertades y deberes ciudadanos mediante la presencia y acción institucional en los territorios.
Enfoque Territorial: Para la realización de acciones en las localidades y entornos requeridos la SDSCJ elaboró un índice compuesto con el objetivo de priorizar las intervenciones que se realizan en los territorios, a partir del análisis de variables delictivas, contravencionales y de violencias presentes en los diferentes niveles territoriales de la ciudad, de tal forma que permita la reducción de los delitos de manera focalizada.</t>
  </si>
  <si>
    <t xml:space="preserve">"En el cuarto trimestre de 2023 se realizaron 203 acciones territoriales de control en entornos de los parques de la ciudad. Lo anterior, para la mitigación de delitos contra el patrimonio, contra la vida y para mitigar el consumo y tráfico de estupefacientes en estos lugares; estas actividades que se realizan en articulación con la Policía Nacional, concentran acciones de registro y control, así como de verificación de antecedentes judiciales a ciudadanos, lo que ha permitido paulatinamente promover espacios más seguros para la realización de actividades físicas, deportivas y recreativas. 
El numero de intervenciones en el periodo fue menor a lo esperado debido a la redistribución de esfuerzos operativos hacia otros entornos vulnerables con ocasión de la dinamica delictiva de fin de año y el cumplimiento de las metas trazadas de Plan 60 y Plan Navidad.
Lo anterior, sumado a las limitaciones de personal a inicios de la vigencia con motivo del proceso contractual; incidió en que no se haya alcanzado el cumplimiento de la meta anual. Frente a ello, se propone cubrir el rezago programando y realizando actividades adicionales por encima de la meta para las próximas vigencias.
Este avance en acciones territoriales ha buscado mitigar e intervenir la dinámica delictiva a partir de una priorización estratégica de las intervenciones de acuerdo con el comportamiento de las variables de seguridad y convivencia para lograr con ello zonas más seguras para la ciudadanía. </t>
  </si>
  <si>
    <t>Territorial: Cada actividad realizada posibilitaba en la comunidad su empoderamiento para el reconocimiento de los tipos delitos y comportamientos contarios a la convivencia. Buscando mitigar toda forma de discriminación social. En las actividades ejecutadas se logró impactar a personas en diferentes ciclos vitales, de distintos grupos poblacionales, que demarcan todos los sectores sociales promocionando a la equidad con acciones incluyentes.</t>
  </si>
  <si>
    <t>En el primer trimestre de 2024 se realizaron acciones interinstitucionales de control y registro en parques priorizados en la ciudad, con el fin de aportar a la disuasión del delito y lograr que estos entornos sean más seguros y confiables; estas actividades que se realizan en articulación con la Policía Nacional permiten paulatinamente promover espacios más seguros para la realización de actividades deportivas y recreativas.</t>
  </si>
  <si>
    <t>Para la realización de acciones en las localidades y entornos requeridos la SDSCJ elaboró un índice compuesto con el objetivo de priorizar las acciones interinstitucionales que se realizan en los territorios, a partir del análisis de variables delictivas, contravencionales y de violencias presentes en los diferentes niveles territoriales de la ciudad. Las acciones realizadas en los entornos durante el periodo, contribuyen a la calidad de vida de los bogotanos y bogotanas por cuanto favorecen las garantías para el ejercicio de libertades y deberes ciudadanos mediante la presencia y acción institucional en los territorios. En este sentido buscan generar entornos más seguros para el disfrute pleno de los mismos y dignificar aquellos entornos de encuentro comunitaro que toman principal relevancia en el camino hacia la reconstrucción del tejido social indistintamente de aspectos etnicos, poblacionales, socioeconomicos o etáreos.</t>
  </si>
  <si>
    <t>En el segundo trimestre de 2024 se realizaron acciones interinstitucionales de control y registro en parques priorizados en la ciudad, con el fin de aportar a la disuasión del delito y lograr que estos entornos sean más seguros y confiables. Estas actividades que se realizan en articulación con la Policía Nacional,  Secretaría Distrital de Gobierno, DIS, Secretaría de Seguridad, Convivencia y Justicia, que permiten paulatinamente promover espacios más seguros para la realización de actividades deportivas y recreativas. Se realizaron acciones en 19 localidades: Antonio Nariño, Barrios Unidos, Bosa, La Candelaria, Chapinero, Ciudad Bolívar, Engativá, Fontibón, Kennedy, Los Mártires, Puente Aranda, Rafael Uribe Uribe, San Cristóbal, Santa Fe, Suba, Teusaquillo, Tunjuelito, Usaquén y Usme.</t>
  </si>
  <si>
    <t>Para la realización de acciones en las localidades y entornos requeridos la SDSCJ elaboró un índice compuesto con el objetivo de priorizar las intervenciones que se realizan en los territorios, a partir del análisis de variables delictivas, contravencionales y de violencias presentes en los diferentes niveles territoriales de la ciudad. Las acciones realizadas en los entornos durante el periodo, contribuyen a la calidad de vida de los bogotanos por cuanto favorecen las garantías para el ejercicio libertades y deberes ciudadanos mediante la presencia y acción institucional en los territorios.</t>
  </si>
  <si>
    <t>En el segundo semestre de 2024 se llevaron a cabo 1437 acciones interinstitucionales de control y registro en parques de las 20 localidades de la ciudad. Es importante resaltar que, mientras la Policía se encarga de los aspectos de registro y control, el equipo de la SDSCJ establece un acercamiento más cordial con la comunidad. Esta estrategia complementaria aborda tanto los aspectos de control como los de prevención y concientización. Estas actividades, realizadas en articulación con la Policía Nacional y el equipo territorial de la SDSCJ, se enfocaron en:
1. Registro a personas y verificación de antecedentes por parte de la Policía Metropolitana.
2. Diálogo con usuarios y transeúntes por parte del equipo territorial de la SDSCJ, incluyendo:
- Sensibilización sobre autocuidado
- Información sobre canales de denuncia para hechos delictivos
3. Visibilización de la presencia institucional en estos entornos.
Con la sumatoria de acciones interinstitucionales de control y registro realizadas, se logro aportar a la disuasión del delito y promover entornos más seguros y confiables para actividades deportivas y recreativas en los parques de las 20 localidades.
NOTA: En el acumulado anual se tiene una diferencia a favor en el número de acciones toda vez que se buscó subsanar el rezago que se traía del año 2023 en el cumplimiento de este producto.</t>
  </si>
  <si>
    <t>Enfoque Territorial: Se tiene en cuenta el rol de los parques dentro de los territorios como espacios relevantes en la relación de la ciudadanía con su ciudad. En este sentido, el producto propende por abordar parques y sus entornos, principalmente aquellos que podrían constituir situaciones de vulnerabilidad y que requieren mayor presencia institucional para disuadir o mitigar factores de riesgo respecto a la seguridad ciudadana. Así las cosas, las intervenciones realizadas en estos entornos durante el periodo, contribuyen a la calidad de vida de los bogotanos por cuanto favorecen las garantías para el ejercicio libertades y deberes ciudadanos mediante la presencia y acción institucional en los territorios.</t>
  </si>
  <si>
    <t>Se realizaron jornadas que permitieron a los 7,387 ciudadanos tener conexión con la naturaleza y la actividad física.
Las actividades tuvieron gran impacto y aumento en la demanda lo que genero mayor número de ciudadanos de los proyectados para esta acción</t>
  </si>
  <si>
    <t>De los contactos únicos 536 son hombres y 260 mujeres, impactando principalmente a adolescentes y jóvenes (AJ) de las localidades de Ciudad Bolívar, San Cristóbal, Bosa y Kennedy.</t>
  </si>
  <si>
    <t xml:space="preserve">Partiendo de la realidad presupuestal de la entidad, se proyectó ampliar el equipo de trabajo para la entrada en funcionamiento del componente de Deportes. Por tanto, el equipo se ha venido consolidando con la vinculación de 7 contratistas: 1 líder, 4 profesionales, 2 apoyos deportivos y una funcionaria de planta. De igual forma se presenta la asignación presupuestal para la compra de elementos deportivos requerido para la ejecución de las líneas de acción del componente deportivo en el IDIPRON. </t>
  </si>
  <si>
    <t>En el último trimestre del 2023, en la línea de formación deportiva se realizaron entrenamientos de fútsal, boxeo y natación. En la línea de práctica deportiva se apoyaron espacios para el desarrollo de las diferentes actividades libres y dirigidas en las Unidades de Protección Integral (Upi); como se evidencia en las planillas de asistencia diaria. Y en la línea de promoción deportiva se realizaron intercambios boxísticos con pugilistas de la liga de boxeo de Bogotá en la Upi de la 32; lugar donde se culmino el Gimnasio Funcional Boxístico Idipron.</t>
  </si>
  <si>
    <t>Hubo la respectiva atención a la población ESCNNA unicada en la Unidad de Protección Integral (Upi) La 27 sur, donde se realizaron talleres pre-deportivos en las modalidades de baloncesto y voleiboll, clases grupales de aero-rumba y encuentros deportivos de fútsal.</t>
  </si>
  <si>
    <t>En el primer semestre del año 2024, el número de adolescentes y jóvenes que participaron de las estrategias fue 1472, en el marco de las diferentes jornadas que promueven la realización de actividad física, ejercicio físico y deporte. Todo esto desde las estrategias estipuladas institucionalmente en las líneas de trabajo de Promoción Deportiva, donde se realizan intercambios deportivos que van desde juegos tradicionales, torneos relámpagos en diferentes disciplinas deportivas, talleres prácticos de autocuidado del cuerpo y mente, competencias de ejercicios funcionales tipo crossfit, talleres deportivos y ahora último caminatas ecológicas que tienen un impacto social (caminar por senderos de la ciudad recogiendo basura y generando un impacto social de cultura ciudadana). Desde la línea de Práctica Deportiva se realizan actividades de entrenamiento físico guiado por profesionales de educación física recreación y deporte en las diferentes UPIs donde existen espacios deportivos como canchas y en algunas Unidades centros de entrenamiento funcional. Finalmente en la línea de Formación Deportiva se incentiva la práctica del deporte en las disciplinas de boxeo, microfutbol, futsal, voleibol, natación y baloncesto como proyecto de vida, donde se lograron hacer 7601  atenciones.</t>
  </si>
  <si>
    <t>Para el primer semestre del 2024 el enfoque se ha dado a partir de la igualdad de género en la participación de mujeres en las diferentes actividades deportivas que se realizan en el instituto, en ese orden de ideas, una de las estrategias para dicho objetivo es realizar torneos mixtos donde en un equipo debe de existir un número de mujeres y/o niñas mínimo participando. Por otro lado, se han dispuesto de otras disciplinas deportivas que son más practicadas por mujeres y población LGBTIQ+ como el voleibol, baloncesto y natación.</t>
  </si>
  <si>
    <t xml:space="preserve">En el segundo semestre del año 2024, el número de adolescentes y jóvenes que participaron de las estrategias fue 2553, en el marco de las diferentes jornadas que promueven la realización de actividad física, ejercicio físico y deporte. Todo esto desde las estrategias estipuladas institucionalmente en las líneas de trabajo de Promoción Deportiva, donde se realizan intercambios deportivos que van desde juegos tradicionales, torneos relámpagos en diferentes disciplinas deportivas, talleres prácticos de autocuidado del cuerpo y mente, competencias de ejercicios funcionales tipo crossfit, talleres deportivos y ahora último caminatas ecológicas que tienen un impacto social (caminar por senderos de la ciudad recogiendo basura y generando un impacto social de cultura ciudadana). Desde la línea de Práctica Deportiva se realizan actividades de entrenamiento físico guiado por profesionales de educación física recreación y deporte en las diferentes UPIs donde existen espacios deportivos como canchas y en algunas Unidades centros de entrenamiento funcional. Finalmente en la línea de Formación Deportiva se incentiva la práctica del deporte en las disciplinas de boxeo, microfutbol, futsal, voleibol, natación y baloncesto como proyecto de vida, donde se lograron hacer 19473  atenciones.
</t>
  </si>
  <si>
    <t xml:space="preserve">Para el segundo semestre del 2024 el enfoque Poblacional Diferencial se ha dado a partir de la igualdad de género en la participación de mujeres en las diferentes actividades deportivas que se realizan en el instituto, en ese orden de ideas, una de las estrategias para dicho objetivo es realizar torneos mixtos donde en un equipo debe de existir un número de mujeres y/o niñas mínimo participando. Por otro lado, se han dispuesto de otras disciplinas deportivas que son más practicadas por mujeres y población LGBTIQ+   como el voleibol, baloncesto y natación y personas con movilidad reducida realizando actividades en deporte adaptado.
</t>
  </si>
  <si>
    <t xml:space="preserve">El IDIPRON, a través de la implementación de diversas estrategias de abordaje territorial en las 20 localidades de Bogotá, ha avanzado significativamente en la implementación de la Política Pública de Deportes. En este proceso, ha brindado atención a 114 niñas y niños, 298 adolescentes y 1.184 jóvenes. Es importante destacar que estos participantes intervienen en una o más de las actividades desarrolladas por la entidad, alcanzando un total de 11.738 participaciones en 447 actividades realizadas.
Desde la línea de Práctica Deportiva, se llevan a cabo actividades de entrenamiento físico guiadas por profesionales en educación física, recreación y deporte. Estas se desarrollan en las Unidades de Protección Integral (UPI) que cuentan con espacios deportivos como canchas, y en algunos casos, con centros de entrenamiento funcional. La formación deportiva promueve la práctica de disciplinas como boxeo, microfútbol, futsal, voleibol, natación y baloncesto, incentivando su incorporación como proyecto de vida.
En el marco de las líneas institucionales de Promoción Deportiva, se realizan intercambios deportivos que incluyen juegos tradicionales, torneos relámpago en diversas disciplinas, talleres prácticos de autocuidado del cuerpo y la mente, competencias de ejercicios funcionales tipo crossfit, talleres deportivos y, recientemente, caminatas ecológicas con impacto social, que consisten en recorrer senderos de la ciudad recogiendo basura y promoviendo la cultura ciudadana. En las Olimpiadas Deportivas 2025 participaron 464 jóvenes.
Con las Olimpiadas Deportivas IDIPRON y las demás actividades impulsadas por el Instituto Distrital para la Protección de la Niñez y la Juventud, se busca fomentar una práctica deportiva ética, diversa y verdaderamente universal dentro de nuestra comunidad.
Las Unidades de Protección Integral (UPI) en las que participan los NNAJ son: la 32, Bosa, Perdomo, Oasis, Servitá, Castillo de las Artes, La Victoria, Santa Lucía, Conservatorio Javier de Nicoló, la 27 y San Francisco.
En su labor de atención a niñas, niños, adolescentes y jóvenes en condiciones de vulnerabilidad, el IDIPRON enfrenta retos significativos que requieren respuestas integrales, sostenidas y diferenciadas.
Las Unidades de Protección integral -UPI- donde participan los NNAJ son: la 32, Bosa, Perdomo, Oasis, Servitá, Castillo de las artes, la Victoria, Santa Lucía, Conservatorio Javier de Nicoló, la 27 y San Francisco.
En su labor de atención a NNAJ en condiciones de vulnerabilidad, el IDIPRON se enfrenta a retos significativos que requieren respuestas integrales, sostenidas y diferenciadas. </t>
  </si>
  <si>
    <t>Garantizar la aplicación efectiva de los enfoques de derechos establecidos en la política institucional del IDIPRON, mediante acciones específicas orientadas a la protección, inclusión, equidad y acceso a oportunidades de la población atendida. 1132 son hombres y 464 son mujeres.
Dentro de las condiciones o situaciones diferenciales 404 de ellas se encuentran incluidas en el registro único de víctimas y 19 cuentan con alguna discapacidad. 
Estas atenciones se enmarcan dentro del enfoque de derechos del modelo pedagógico institucional, garantizando un abordaje integral, diferenciado, contextualizado y que promueve la integración la confianza el trabajo en equipo y el reconocimiento de las diversidades inherentes al ser humano que responde a las necesidades particulares y vulnerabilidades específicas de cada NNAJ.</t>
  </si>
  <si>
    <t xml:space="preserve">Durante el tercer trimestre de 2025, el Instituto Distrital para la Protección de la Niñez y la Juventud (IDIPRON), en el marco de su Modelo Pedagógico, consolidó el deporte como una herramienta de formación integral, inclusión social y transformación de proyectos de vida de los(as) niños, niñas, adolescentes y jóvenes (NNAJ) vinculados a la entidad.
Estas acciones se desarrollaron en coherencia con la Política Pública Distrital de Deporte, Recreación y Actividad Física, Parques y Escenarios del Distrito Capital, que reconoce el deporte como un componente estratégico para el desarrollo humano y la construcción de ciudadanía.
Durante el trimestre se implementaron jornadas deportivas y recreativas en las Unidades de Protección Integral (UPI) en las tres modalidades de atención: internado, externo y territorio, con la participación de 1.231 adolescentes y jóvenes en disciplinas como fútbol, baloncesto, natación, futsal, boxeo y voleibol, entre otras.
Más allá del componente físico, las actividades deportivas promovieron hábitos de vida saludable, convivencia, trabajo colaborativo y apropiación de valores ciudadanos, alineados con los principios del Modelo Pedagógico del IDIPRON. El deporte se consolidó como una estrategia pedagógica para canalizar la energía, fortalecer la autodisciplina y desarrollar competencias socioemocionales, contribuyendo a la reducción de riesgos asociados a la exclusión social o al consumo de sustancias psicoactivas.
El equipo pedagógico de las UPI tuvo un rol central en la planificación, ejecución y acompañamiento de las actividades, generando entornos protectores y fomentando la participación activa de los(as) beneficiarios(as). Estos espacios han favorecido el aprovechamiento constructivo del tiempo libre, la permanencia en procesos institucionales y el fortalecimiento de vínculos familiares y comunitarios.
Se destacan experiencias significativas de reintegración educativa y social, evidenciando la efectividad del deporte como medio de inclusión y desarrollo personal. En cuanto a la participación, se registraron 859 hombres y 372 mujeres. Aunque persiste la predominancia masculina en disciplinas como fútbol y boxeo, se observa un incremento sostenido en la participación femenina en deportes mixtos y de contacto, reflejando avances hacia la equidad de género y la democratización del acceso deportivo.
Para el próximo trimestre, se fortalecerán los mecanismos de identificación, seguimiento y promoción que garanticen la participación equitativa de todos los grupos poblacionales, consolidando una política deportiva institucional más incluyente.
Los resultados obtenidos demuestran que las estrategias deportivas del IDIPRON trascienden la actividad física, constituyéndose en intervenciones pedagógicas de alto impacto que reducen conductas de riesgo, fortalecen la salud mental y emocional, y promueven la convivencia pacífica. Cada jornada, entrenamiento o torneo representa una oportunidad para reafirmar el poder transformador del deporte en la construcción de ciudadanía y proyectos de vida dignos. De esta manera, el IDIPRON contribuye al cumplimiento de la Política Distrital de Deporte, Recreación y Actividad Física, reafirmando su compromiso con la formación integral, la dignidad y el bienestar de los(as) adolescentes y jóvenes de Bogotá.
</t>
  </si>
  <si>
    <t>El desarrollo de los procesos deportivos del IDIPRON se fundamenta en un enfoque poblacional y diferencial orientado a garantizar la equidad, la igualdad de oportunidades y la no discriminación en el acceso y participación en la práctica deportiva. 
Su implementación se basa en el reconocimiento de las trayectorias, contextos y particularidades de cada persona atendida —niñas, niños, adolescentes y jóvenes—, de modo que las estrategias respondan a sus intereses, capacidades y condiciones de vida, contribuyendo de manera efectiva a su desarrollo integral.
Desde esta perspectiva, el deporte se configura como un instrumento de cohesión social y transformación comunitaria, que fortalece los vínculos solidarios, promueve la empatía y consolida entornos protectores.
Las Unidades de Protección Integral (UPI), junto con sus equipos pedagógicos, impulsan acciones que garantizan la participación activa, equitativa e inclusiva de las y los adolescentes y  jóvenes, reconociendo sus particularidades y teniendo presente sus identidad de género, condición social, historia de vida o situación de vulnerabilidad.
De esta manera, el IDIPRON promueve una cultura institucional basada en el respeto, la diversidad y la convivencia, reafirmando que el acceso al deporte constituye un ejercicio de ciudadanía y un derecho fundamental.</t>
  </si>
  <si>
    <t>Se llevó a cabo el diplomado donde se formaron 50 dinamizadores.</t>
  </si>
  <si>
    <t>Se logró que la comunidad adquiriera las habilidades y conocimiento sobre la importancia de la naturaleza para la salud física y emocional.</t>
  </si>
  <si>
    <t xml:space="preserve">A través de las terapias de naturaleza se generaron actividades de contacto directo con el ambiente natural, la respiración, las caminata silentes vinculando a 1311 participantes y por lo tanto espacios de inmersión consciente con el contacto directo  con elementos  naturales  y su interés en la  relación  humano- naturaleza.     </t>
  </si>
  <si>
    <t>Se logró generar espacios de reconexión del ser con la naturaleza, donde la educacion ambiental es el eje fundamental para que los coudadanos entienda la importancia de lanaturaleza y esta como influye en nuestra vida cotidiana.</t>
  </si>
  <si>
    <t>Se realizan Terapias de Naturalezas las cuales consisten en una actividad de respiro donde se exploran sensaciones desde su vivencia y relacionamiento con el entorno natural a través de la dinamización de los sentidos, percibiendo los diferentes sonidos naturales, texturas, olores y sabores, con el propósito de entrar a un estado de relajación y mejorar su sensación de bienestar, poder llevar al participante a tener un encuentro con su ser interior y así estimular los canales energéticos.
Se realizaron dos sesiones de Rumba terapia al natural las cuales tiene como objetivo estimular el sistema cardiovascular, las capacidades perceptivo motrices, la socialización y el bienestar integral de las personas, beneficios que aumentan al realizarlos en entornos naturales. A través de ritmos populares, modernos y folclóricos, utilizando movimientos y coreografías sencillas para que el participante se mantenga activo y motivado.</t>
  </si>
  <si>
    <t>La implementación de las actividades se  desarrollo con base en los enfoques de Género, Diferencial y  Poblacional, con el objeto de  brindar  bienestar  mediante la respiración conciente  en espacios naturales urbanos a los participantes de actividad física en el Programa Naturaleza, Salud y Cultura.</t>
  </si>
  <si>
    <t xml:space="preserve">Se realizan 159 Terapias de Naturalezas las cuales consisten en una actividad de respiro donde se exploran sensaciones desde su vivencia y relacionamiento con el entorno natural a través de la dinamización de los sentidos, percibiendo los diferentes sonidos naturales, texturas, olores y sabores, con el propósito de entrar a un estado de relajación y mejorar su sensación de bienestar y así poder llevar al participante a tener un encuentro con su ser interior y  estimular los canales energéticos.   
Se realizaron dos sesiones de la Terapia de Naturaleza - Naturalmente la cual es una estrategia de salud mental para niños y niñas de 8 a 12 años, teniendo como finalidad promocionar, mantener y cuidar la salud física, mental y emocional de los de los estudiantes de los colegios distritales que tiene la ciudad, a través de actividades relacionadas y articuladas entre sí (respiración consiente, movimientos corporales y conexión con el entorno natural). 
Se realizo una sesión de Rumbaterapia al natural en el marco de la agenda académica y cultural del Jardín de Noche la cual tiene como objetivo estimular el sistema cardiovascular, las capacidades perceptivo motrices, la socialización y el bienestar integral de las personas; beneficios que aumentan al ser realizados en entornos naturales. A través de ritmos populares, modernos y folclóricos, utilizando movimientos y coreografías sencillas para que el participante se mantenga activo y motivado.
Se realizo una actividad de Sano Activo y Feliz, que tiene como objetivo mejorar la sensación de bienestar en las personas; mediante la puesta en marcha de una actividad lúdica y recreativa planificada (yoga, pintura, ejercicio, entre otros) donde existe esa relación entre padres e hijos, que realizadas en entornos ambientales sensibilice sobre la importancia de la naturaleza como un escenario y una herramienta efectiva y eficaz para el mejoramiento de la salud de las personas.
Se realizo una sesión de la Terapia de Naturaleza Reverdece tu Espíritu la cual busca aportar al mantenimiento, mejoramiento y el cuidado de la salud integral teniendo como herramienta y escenario la naturaleza, a través de un conjunto de actividades en articulación con la naturaleza, aportando así al mejoramiento de su salud mental y física. 
Esta organizada con las siguientes actividades
1. Estiramiento al natural
2. Pintura al natural
3. Yoga
4. Musicoterapia y reflexión final para compartir acerca de la experiencia         
Se realizo una jornada de recolección de residuos y actividad física en el cerro de Monserrate donde se resaltó la importancia de cuidar el medio ambiente y promover la actividad física para una vida saludable. Luego se realiza un poco de actividad física (estiramientos leves y respiración consiente), un permiso al territorio, entrega de una fruta y la entrega de elementos de protección personal para la recolección de residuos (bolsas blancas y guantes). 
Se realizaron dos sesiones de respiración consciente, una actividad que tiene como objetivo conectar a las personas con el proceso de respiración, inhalación, apnea y exhalación. Los diferentes tipos de inhalación y de exhalación: nariz – nariz, nariz – boca.
                                                                                                               </t>
  </si>
  <si>
    <t xml:space="preserve"> Se realizan 99 Terapias de Naturaleza las cuales consisten en una actividad de respiro donde se exploran sensaciones desde su vivencia y relacionamiento con el entorno natural a través de la dinamización de los sentidos, percibiendo los diferentes sonidos naturales, texturas, olores y sabores, con el propósito de entrar a un estado de relajación y mejorar su sensación de bienestar, poder llevar al participante a tener un encuentro con su ser interior y así estimular los canales energéticos.
Se realizaron dos sesiones de Rumba terapia al natural las cuales tiene como objetivo estimular el sistema cardiovascular, las capacidades perceptivo motrices, la socialización y el bienestar integral de las personas, beneficios que aumentan al realizarlos en entornos naturales. A través de ritmos populares, modernos y folclóricos, utilizando movimientos y coreografías sencillas para que el participante se mantenga activo y motivado.</t>
  </si>
  <si>
    <t>La implementación de las actividades se desarrollaron con base en los enfoques de género diferencial y poblacional, con el objeto de brindar bienestar mediante la respiración conciente, dinamización de los sentidos y caminatas cortas en espacios naturales urbanos a los participantes que asistieron a los servicios brindados por el Programa Naturaleza, Salud y Cultura.</t>
  </si>
  <si>
    <t xml:space="preserve">En el primer semestre se realizaron 586 actividades de respiración consciente en diferentes localidades de la ciudad (Kennedy, Ciudad Bolívar, San Cristóbal, Puente Aranda y Engativá en el Jardín Botánico de Bogotá) en este espacio se realizó la actividad de respiración y estiramiento con poblaciones diversas como adultos mayores, adultos, jóvenes, personas víctimas del conflicto armado entre otras que encontraron en la actividad física un escenario de conexión con la naturaleza y con su propio sujeto.  Adicionalmente se desarrollo dos jornada de rumbo terapia al natural, en el marco del Jardín de noche participaron en cada espacio personas de diferentes grupos etarios, en donde a través del contacto con la naturaleza, el movimiento consciente y el desarrollo de habilidades motrices y sensoriales se acerca a los participantes a entornos activos y dinámicos.  </t>
  </si>
  <si>
    <t xml:space="preserve">La implementación de las actividades se desarrollaron con base en los enfoques de género diferencial y poblacional, con el objeto de brindar bienestar mediante la respiración conciente, dinamización de los sentidos y caminatas cortas en espacios naturales urbanos a los participantes que asistieron a los servicios brindados por  Naturaleza, Salud y Cultura. Con poblaciones diversas como adultos mayores, adultos, jóvenes, entre otras que encontraron en la actividad física un escenario de conexión con la naturaleza y con su propio sujeto. </t>
  </si>
  <si>
    <t>Durante el segundo semestre del año se realizaron acciones como Ploggin, una jornada de respirando en calma en el sendero San Francisco Vicachá, rumbo terapias en jornadas diurnas o en espacios de Jardín de noche y una Chiquirumba en el marco de la celebración del día de los niños en donde padres e hijos realizaron actividad física al aire libre, permitiendo que 384 personas de diferentes grupos poblacionales y etarios se beneficiaran de estas jornadas que presta la naturaleza en relación con la actividad física.
Logro: con las acciones realizadas en la vigencia 2024 se logró que 964 personas de diferentes grupos poblacionales participaran del programa Naturaleza, Salud y Cultura, mediante actividad física al aire libre.</t>
  </si>
  <si>
    <t>La implementación de las actividades se desarrollaron con base en los enfoques de género diferencial y poblacional, con el objeto de brindar bienestar mediante la respiración conciente, dinamización de los sentidos y caminatas cortas en espacios naturales urbanos a los participantes que asistieron a los servicios brindados por  Naturaleza, Salud y Cultura. Con poblaciones diversas como adultos mayores, adultos, jóvenes, entre otras que encontraron en la actividad física un escenario de conexión con la naturaleza y con su propio sujeto.</t>
  </si>
  <si>
    <t>Ambiental</t>
  </si>
  <si>
    <t>En el marco de la Estrategia Bogotá Pedalea durante la vigencia 2022 se realizaron dos (2) actividades como se describe a continuación: 
1. Foro Nacional de la Bicicleta, Fusagasugá 2022:  El IDRD y la Estrategia Bogotá Pedalea participaron en el Foro Nacional de la Bicicleta Fusagasugá 2022 con el portafolio de servicios de la Escuela de la bicicleta, Al trabajo en Bici y Ciclovía. También se realizó el acompañamiento de la travesía Bogotá-Fusagasugá que se llevó a cabo el viernes 9 de septiembre. La travesía tuvo como punto de encuentro el Estadio Metropolitano “El Campin” lugar en el cual un grupo de aproximadamente 250 ciclistas iniciaron el recorrido rumbo a la salida sur de la ciudad por la avenida NQS y autopista sur, durante el recorrido se unieron otros ciclistas en el municipio de Soacha y Sibaté consolidando un grupo de 450 participantes de la travesía completando 66Km en la ruta Bogotá- Soacha - Sibaté y Fusagasugá. Contando con la participación aproximada de 315 hombres y 135 mujeres. Es de resaltar que durante el recorrido se tuvo el acompañamiento de Policía Nacional y Metropolitana, Secretaría Distrital de Movilidad, Secretaría de Seguridad, Gobernación de Cundinamarca, secretarías de Movilidad y las alcaldías de Sibaté y Fusagasugá, dando cumplimiento a los compromisos adquiridos en las mesas de trabajo interinstitucional realizadas con las mesas de trabajo del Foro Nacional de la Bicicleta.
2. Travesía del Valle del Abra: Contó con un recorrido a los municipios de Madrid, Cota, Tenjo y Subachoque con el fin de integrar al Distrito Capital con el circuito Bici Bogotá Región, recorriendo parte de la ruta de Montañas Legendarias diseñada por Internacional Mountain Bicycling Asociación (IMBA) y la Región Central RAP-E. Contando con la participación de 300 personas, entre ellos 104 mujeres y 196 hombres.</t>
  </si>
  <si>
    <t xml:space="preserve">Poblacional – Diferencial: Las personas beneficiadas son personas mayores de 18 años de todos los grupos sociales sin distinción alguna que realizan actividades de gran impacto con efectos mediáticos en busca de la visibilización de la bicicleta como una alternativa de desarrollo humano y como elemento cultural recreativo y deportivo, constructor de identidad de ciudad, además de incentivar la participación en los eventos recreativos-deportivos de las diferentes modalidades del ciclismo. 
Género: Se cuenta con la participación total de 750 personas, de las cuales 239 fueron mujeres y 511 hombres. El uso de la bicicleta procura procesos culturales que solo se dan de forma significativa, en las dinámicas cotidianas de una comunidad generando diálogos equitativos de cooperación, reflexivos, incluyentes y críticos sobre su condición y su pertinencia social y ambiental. A su vez, genera nuevos valores y códigos propios; accionando aprendizajes idóneos para adquisición de hábitos de vida saludables y preservadores que apunten al mejoramiento de la calidad de vida tanto de hombres como de mujeres, que han tenido una importante y significativo interés cada día más en el tema de la bicicleta. 
Territorial: Participaron personas mayores de 18 años de Bogotá Distrito Capital, así como personas residentes en municipios de Cundinamarca como Soacha, Sibaté, Fusagasugá, Madrid, Cota, Tenjo y Subachoque. 
En la globalización de la temática de la movilidad sostenible, los movimientos pro-bici se enfocan en la búsqueda de ciudades amigables con el ciclista y el peatón, en Colombia se han generado  tendencias que convergen en la promoción del uso de la bicicleta como elemento de empoderamiento ciudadano y las cuales están cada  vez más encaminadas a proponer al ciclista urbano y deportivo la oportunidad de explorar y participar en la construcción de la política pública entorno a la bicicleta, generando así la posibilidad de reconocer y resignificar los espacios y ciudades para la bicicleta y el peatón. </t>
  </si>
  <si>
    <t xml:space="preserve">En el marco de la elaboración de formación en dinamizadores de terapias de naturalezas, se está proyectando para el segundo semestre del año 2023 el diplomado denominado dinamizadores de naturaleza y  el curso  corto  llamado  el poder  terapéutico de la naturaleza. </t>
  </si>
  <si>
    <t xml:space="preserve">Se proyecta para el tercer trimestre la realización del diplomado dinamizadores de naturaleza de forma virtual, esto con el objetivo de tener un mayor alcance y participación, se han implementado para el avance del diseño e implementación del diplomado, logrando el convenido con UNISANITAS para el montaje en la plataforma y la consolidación de los contenidos académicos en formato e learning. </t>
  </si>
  <si>
    <t xml:space="preserve">No se  ha implementado el diplomado virtual, dinamizadores de terapias de  naturaleza. Se espera  abarcar  los enfoques de genero, difrencial y poblacional en respuesta a la  promocion del aprendizaje  e learning. </t>
  </si>
  <si>
    <t>Se logró que la comunidad pudiera adquirir  las habilidades y conocimiento sobre la importancia de la naturaleza y los fundamentos para realizar Terapias de Naturaleza o Baños de Bosque.</t>
  </si>
  <si>
    <t>Se tiene programado realizar el diplomado en el segundo semestre del 2024.</t>
  </si>
  <si>
    <t>En el segundo semestre se realizó el proceso de formación del diplomado: Dinamizadores de Terapias de Naturaleza, con un total de 40 horas de formación, donde participaron 50 personas las cuales fueron certificadas. Se promovio que los participantes del proceso de formación puedan  replicar en los territorios la importancia de espacios de respiro, el contacto con la naturaleza y toda su diversidad además de una reconexión con la naturaleza.</t>
  </si>
  <si>
    <t>Con el proceso de formación de 40 horas en dinamizadoras, los participantes pudieron conocer estrategias para reconectarse con la naturaleza y los entornos naturales de la ciudad.  Adicional al enfoque ambiental se implementaron estas acciones con diferentes grupos etarios que promueven relaciones con los espacios ambientales de la ciudad de manera diferencial. Dicho esto no sólo se fortalece la salud física y mental de los participantes sino también la salud misma de los ecosistemas y sus coberturas vegetales urbanas.</t>
  </si>
  <si>
    <t>Estas acciones se desarrollaron en coherencia con la Política Pública Distrital de Deporte, Recreación y Actividad Física, Parques y Escenarios del Distrito Capital, que reconoce el deporte como un componente estratégico para el desarrollo humano y la construcción de ciudadanía.</t>
  </si>
  <si>
    <t>Durante la vigencia 2022 el IDPAC fortaleció dos (2) organizaciones sociales y comunitarias que promueven el deporte, implementando el modelo de fortalecimiento que ofrece la entidad. Las organizaciones son Bogotá Patina, y Escuela Popular y Deportiva Hyntiba , a las cuales se les aplicó el Índice de Fortalecimiento de la Organización Social -IFOS, que permite diagnosticar la etapa de maduración organizativa. 
Como resultado de este ejercicio se tiene que:
Bogotá Patina pertenece a la localidad de Engativá y se encuentra en etapa de estructuración de acuerdo con la medición del Índice de Fortalecimiento (IFOS), puesto que obtuvo 95 puntos de 152 posibles. Esto significa que la organización tiene definida su estructura de funcionamiento y operación de sus procesos para realizar acciones que cambian una realidad o una situación que los afecta directa o indirectamente.
Por su parte, la organización Escuela Popular y Deportiva Hyntiba se encuentra en la localidad de Fontibón, y de acuerdo con el Índice de Fortalecimiento (IFOS) se ubica en etapa de estructuración, puesto que obtuvo 52 puntos de 152 posibles, lo que implica que la organización genera acciones de acuerdo con sus capacidades internas y externas para cambiar una realidad o una situación que los afecta directa o indirectamente. 
De acuerdo al desarrollo organizativo y culminación de la implementación del modelo de fortalecimiento (plan de fortalecimiento, asistencia técnica, formación en temas de participación), estas organizaciones fueron beneficiarias por la entrega de un incentivo correspondiente a un kit tecnológico en el marco de la convocatoria del Fondo Chikaná.</t>
  </si>
  <si>
    <t xml:space="preserve">ENFOQUE POBLACIONAL - DIFERENCIAL: Las organizaciones sociales reportadas como fortalecidas están conformadas por personas en el rango etario de juventud (18 a 28 años) ENFOQUE TERRITORIAL: Las organizaciones reportadas se encuentran en las localidades de Engativá y Fontibón.  </t>
  </si>
  <si>
    <t xml:space="preserve">Durante el primer trimestre de 2023 no se realizaron actividades en articulación con región RAP-E y Región Metropolitana Bogotá-Cundinamarca para incentivar el deporte la recreación la actividad física y el turismo en torno al uso de la bicicleta de montaña. </t>
  </si>
  <si>
    <t>Durante el segundo trimestre de 2023 no se realizaron actividades en articulación con región RAP-E y Región Metropolitana Bogotá-Cundinamarca para incentivar el deporte la recreación la actividad física y el turismo en torno al uso de la bicicleta de montaña.</t>
  </si>
  <si>
    <t xml:space="preserve">Actividades programadas para implementarse en el último trimestre de 2023. </t>
  </si>
  <si>
    <t>Durante el último trimestre de 2023 se llevaron a cabo dos eventos gratuitos con el objetivo de fomentar el uso de la bicicleta MTB (ciclomontañismo) en la comunidad, incluyendo recorridos por diversas rutas dentro y fuera de Bogotá. A continuación, se detallan las actividades desarrolladas:
1.	Travesía MTB RAP-E BIOMETRÓPOLIS (11 de noviembre) En colaboración con entidades dedicadas a rutas turísticas como RAP-E y BICIREGIÓN REGIÖN CENTRAL, se organizó esta travesía dirigida a la comunidad en general y especialmente a los entusiastas del MTB.
El evento, de inscripción gratuita y abierta para personas mayores de 18 años, tuvo un recorrido total de 30 kilómetros. Comenzó en la localidad de Santa Fe, en el Santuario Virgen de la Peña, continuando con un ascenso hasta llegar al parador Colombia 86. Luego, se recorrió una ruta de bici región central RAP-E de unos 12 kilómetros, caracterizada por senderos destapados, descensos técnicos y ascensos con inclinaciones superiores al 16%, conectando finalmente con la vía Bogotá La Calera y culminando en el alto de Patios, parador La Cumbre.
2.	Salida de MTB al Valle de Abra (16 de diciembre): En colaboración con BiciBogotá Región, se llevó a cabo esta salida que abarcó 15 kilómetros de la ruta Montañas, diseñada por IMBA y la Región Central RAP-E, con múltiples rutas de MTB dentro y fuera de Bogotá. El punto de encuentro y salida fue el Parque San Andrés, partiendo por la Calle 80 y llegando a Tenjo, con destino final en Puente Piedra-Subachoque, totalizando un recorrido de 43 kilómetros.</t>
  </si>
  <si>
    <t>Poblacional – Diferencial: Estas actividades son de libre participación y están dirigidas a todas las personas mayores de 18 años. Su objetivo primordial es incentivar la práctica de ejercicio y recreación en la comunidad, así como reactivar rutas de MTB para el disfrute general. Al fomentar estas iniciativas, se busca beneficiar la salud cardiovascular y aumentar significativamente la capacidad pulmonar de los participantes.
Género: En el desarrollo de las dos actividades de ciclomontañismo, participaron un total de 397 personas, de las cuales 147 fueron mujeres y 250 hombres. El objetivo principal fue incrementar la representación del género femenino en actividades recreativas al aire libre. Contamos con el respaldo de la Secretaría Distrital de la Mujer, que proporcionó información a la comunidad sobre las rutas de atención en casos de violencia de género, activación de la línea púrpura y la ubicación de las casas de igualdad para mujeres.
Territorial: Participaron personas mayores de 18 años de Bogotá Distrito Capital, así como personas residentes en municipios de Cundinamarca. Para ello se contó con el acompañamiento y apoyos externos como la Bici Región o Región central RAP-E quienes promueven diversas rutas turísticas, y desde los eventos de las Biciexperiencias se realizó una articulación para que la ciudadanía disfrute de toda una oferta de rutas que tienen alrededor de Bogotá para hacer ciclomontañismo, desde donde se promueve el biciturismo y la apropiación de los diferentes recorridos, los cuales también generan una activación económica para la región y sus habitantes y promoviendo la conexión con la naturaleza.</t>
  </si>
  <si>
    <t xml:space="preserve">Durante el primer semestre del 2024 se realizó la 2da edición de la vuelta ‘Bogotá Non Stop’ el 1 y 2 de junio, un recorrido de aventura MTB que se realiza por el ‘Circuito BiciBogotá Región’ del programa @BiciRegion. Evento articulado por La RAP-E Región Central, el Institucto Distrital de Turismo,  la Cámara de Comercio de Bogotá y Operador Monteadentro, donde se logro la participación de un total de 198 personas, con la actuación dentro del evento  de  12 mujeres y 186 hombres. </t>
  </si>
  <si>
    <t>Poblacional – Diferencial: Estas actividades son de libre participación y están dirigidas a todas las personas mayores de 18 años. Su objetivo primordial es incentivar la práctica de ejercicio y recreación en la comunidad, así como reactivar rutas de MTB para el disfrute general. Al fomentar estas iniciativas, se busca beneficiar la salud cardiovascular y aumentar significativamente la capacidad pulmonar de los participantes.
Género: En el desarrollo de  la 2da edición de la vuelta ‘Bogotá Non Stop’, participaron un total de 198 personas, de las cuales 12 fueron mujeres y 186 hombres. Se busca incrementar la representación del género femenino en actividades recreativas al aire libre. 
Territorial: Participaron personas mayores de 18 años de Bogotá Distrito Capital, así como personas residentes en municipios de Cundinamarca. Para ello se contó con el acompañamiento y apoyos externos como la Bici Región o Región central RAP-E quienes promueven diversas rutas turísticas, y desde los eventos de las Biciexperiencias se realizó una articulación para que la ciudadanía disfrute de toda una oferta de rutas que tienen alrededor de Bogotá para hacer ciclomontañismo, desde donde se promueve el biciturismo y la apropiación de los diferentes recorridos, los cuales también generan una activación económica para la región y sus habitantes, promoviendo la conexión con la naturaleza.</t>
  </si>
  <si>
    <t xml:space="preserve">Durante el II semestre se realizó el evento denominado “Bogotá en Bici Santiamén”, en el que participaron 288 personas, de los cuales 92 fueron mujeres y 196 hombres. Este evento fue dirigido a los amantes del ciclismo y tuvo como objetivo promover el uso de la bicicleta de montaña (MTB) a través de un recorrido que mezcla rutas urbanas y rurales en Bogotá y sus carretearas aledañas en municipios cercanos. El recorrido incluyo paradas estratégicas, como la bienvenida en la Plazoleta de los Periodistas, calentamiento, y descansos en puntos clave, como Choachí, El Verjón y La Calera. Con este evento se busco ofrecer una experiencia segura y cómoda para los participantes, destacando los beneficios del ejercicio y la convivencia con la naturaleza en un entorno saludable. Además, el evento resalto la importancia de la seguridad vial y el respeto por el medio ambiente.
Durante la organización de los eventos "Bogotá Non Stop" y "Bogotá en Bici Santiamén" se articuló de manera estrecha con la RAP-E Región Central, lo que permitió desarrollar actividades conjuntas de promoción, intervención y socialización de las rutas mapeadas en la región central. En el caso de la 2da edición de la Vuelta ‘Bogotá Non Stop’, la colaboración con la RAP-E facilitó el diseño de un recorrido de aventura MTB dentro del ‘Circuito Bici Bogotá Región’, promoviendo tanto la participación de los ciclistas como el reconocimiento de las rutas dentro de la región, resaltando la importancia de la seguridad vial, el respeto por el medio ambiente y fomentando el uso de la bicicleta en un entorno natural y saludable. 
Logro: Esta meta alcanzo su cumplimiento, la cual  incentivó el uso de la bicicleta promoviendo hábitos saludables. También se enfoco en la descongestión del tráfico y en crear conciencia sobre el cuidado del entorno natural durante la actividad. A lo largo de los recorridos, los participantes disfrutaron de los paisajes eco-turísticos mientras recibieron servicios de apoyo como hidratación, atención médica y logística adecuada. Los eventos culminaron con una ceremonia de premiación, donde los ciclistas celebraron su esfuerzo y reforzaron el compromiso con un estilo de vida más activo.
</t>
  </si>
  <si>
    <t xml:space="preserve">Enfoque poblacional-diferencial: Se aplicó en el evento al incluir y adaptar la actividad para diversos grupos, considerando sus habilidades, edades y necesidades. Se diseñaron recorridos accesibles para ciclistas de todos los niveles y se ofrecieron recomendaciones personalizadas sobre salud, hidratación y seguridad, fomentando una cultura ciclista inclusiva y consciente.
Enfoque de Género: Se implementó al promover la participación de mujeres en un ámbito tradicionalmente masculino, con 92 mujeres entre los 288 participantes. Se garantizó un ambiente inclusivo y seguro, fomentando la comodidad y el bienestar de todos los ciclistas, y asegurando una experiencia equitativa y accesible para todos, sin importar su género.
Territorial: Participaron personas mayores de 18 años de Bogotá Distrito Capital, así como personas residentes en municipios de Cundinamarca. Para ello se contó con el acompañamiento y apoyos externos como la Bici Región o Región central RAP-E quienes promueven diversas rutas turísticas, y desde los eventos de las Biciexperiencias se realizó una articulación para que la ciudadanía disfrute de toda una oferta de rutas que tienen alrededor de Bogotá para hacer ciclomontañismo, desde donde se promueve el biciturismo y la apropiación de los diferentes recorridos, los cuales también generan una activación económica para la región y sus habitantes, promoviendo el deporte y la actividad física.
Enfoque Territorial: El evento se desarrollo por zonas urbanas de Bogotá y zonas rurales en municipio cercanos a Bogotá, como la Calera, el Verjón y ruta hacia Choachí. </t>
  </si>
  <si>
    <t>Poblacional - Diferencial, género y Territorial</t>
  </si>
  <si>
    <t>Durante la vigencia 2022 se realizó la articulación con 45 entidades, como las ligas, federaciones y otras entidades de orden particulares en el desarrollo de 93 eventos recreodeportivos y de alto rendimiento. Los eventos se desarrollan en diferentes parques y escenarios del distrito. 
- Se articularon con 35 ligas el desarrollo de 83 eventos recreodeportivos en el marco de los juegos Intercolegiados como de alto rendimiento
- Se articuló con 5 federaciones el desarrollo de 5 eventos recreodeportivos y de alto rendimiento como: Mundial de BMX, Levantamiento De Pesas, Open De Jiujitsu, Panamericano De Billar, Balonmano Playa, Empire II MMA.  
- Se articuló con 5 entidades de orden particular el desarrollo de 5 eventos en el marco de los juegos distritales de la Juventud 
Ligas Participantes: SQUASH, CANOTAJE, PATINAJE, PATINAJE ARTISTICO, TEJO, HAPKIDO, CICLISMO, BOXEO, VOLEIBOL, LUCHA, TENIS DE MESA, BEISBOL, BALONCESTO, TAEKWONDO, SOFTBOL, TENIS, ATLETISMO, TRIATLON, ESGRIMA, ARQUERIA, SUBACUATICAS, RUGBY, JUDO, NATACION, AJEDREZ, BADMINTON, BOLOS, GIMNASIA, PESAS, BOCCIA, KARATE, KARATE DO, PORRAS, FUTBOL SALA, SUB ACUATICAS - PARA NATACION. 
Federaciones Participantes: CICLISMO, PESAS, JIUJITSU, BILLAR, BALONMANO</t>
  </si>
  <si>
    <t xml:space="preserve">Poblacional – Diferencial: Se articuló acciones con ligas, federaciones y otras entidades de orden distrital para el desarrollo e implementación de eventos deportivos y de alto rendimiento de orden distrital, contando con la participación de personas de todos los grupos etarios, sociales y algunas personas deportistas con discapacidad.  
En los primeros Juegos Deportivos Distritales de la Juventud 2022, que se ejecutaron en la tercera y cuarta semana de septiembre de 2022, se buscó promover y fortalecer la creación de organismos deportivos de la ciudad. Con la realización de este evento se pretendió impactar el sistema deportivo de Bogotá en sensibles aspectos como: el Fortalecimiento del sistema deportivo de la ciudad, en los sectores convencional y paralímpico, generar beneficios en el ámbito social, cultural, económico y deportivo, establecer un establecimiento de un sistema de geo-referenciación deportiva para la ciudad como posicionar atletas de rendimiento, como referentes deportivos locales. 
Además, los niños, niñas, adolescentes y jóvenes con discapacidad estudiantes de las IED pudieron  inscribirse para participar en este evento que se realizó en dos categorías de edad (Sub 14 y Sub 17), en las siguientes disciplinas paralímpicas; Atletismo, Ajedrez, Boccia, Natación, Tenis en Silla, Tenis de Mesa, Goalball, Paracycling y Powerlifting, varios de estos deportes se ofertan para las cinco discapacidades organizadas en el sistema paralímpico nacional; auditiva, parálisis, física, cognitiva (intelectual) y visual. Los niños, niñas, adolescentes y jóvenes estudiantes con discapacidad, previo entrenamiento, tuvieron sus primeras experiencias deportivas compitiendo entre sí o con otra población pereciente a ONG, Clubes y otras entidades.
Género: No se cuenta con reporte del numero total de hombres y mujeres, sin embargo, los eventos realizados en articulación con las ligas, federaciones y demás entidades, están dirigidas a las y los deportistas u aquellos que desean ingresar a los procesos deportivos tanto del sector convencional como del Paralímpico. 
</t>
  </si>
  <si>
    <t>Para la vigencia 2023 el IDPAC a través de las acciones de identificación, caracterización y diagnóstico identificará organizaciones sociales en las cuales el deporte se constituya como un eje de trabajo que beneficie a sectores o poblaciones diferenciadas.</t>
  </si>
  <si>
    <t xml:space="preserve">El  fortalecimiento a las organizaciones sociales que lleva a cabo IDPAC, se da a través del Modelo de Fortalecimiento a la Organización Social, que está compuesta por 6 fases a saber: i) Caracterización y diagnóstico (aplicación de los índices de fortalecimiento con el que se define el estado en el que se encuentra el proceso organizativo), ii) Plan de fortalecimiento (programación de acciones con base en el diagnóstico) iii) fase de formación (ciclos y cursos de formación que ofrece la Escuela de Participación del IDPAC en capacidades democráticas y organizativas de conformidad con el interés del proceso organizativo), iv) Asistencia técnica (acompañamiento técnico del IDPAC para aumentar capacidades organizativas y robustecer sus procesos internos y externos), v) incentivos de fortalecimiento (instrumentos que están previstos para entregar a las organizaciones que se encuentran en alguna fase de la ruta de fortalecimiento y está sujeto a las condiciones de la convocatoria y a la disponibilidad de recursos del IDPAC), y vi) Seguimiento y evaluación (aplicación de las preguntas que componen las categorías del Índice de Fortalecimiento, una vez finalice la ruta de fortalecimiento). 
Durante la vigencia 2023, 5 organizaciones sociales promotoras del deporte se vincularon y completaron a la ruta del Modelo de  Fortalecimiento a la Organización Social, a continuación se listan las organizaciones y la etapa de fortalecimiento en la cual se encuentran , AQUARIUS JOKER’S PARALYMPIC SPORT SCHOOL etapa de preparación , CLUB DEPORTIVO SIN LIMITES DE USME etapa de preparación, CORPORACION SOCIAL CURVAS EN BICI etapa de estructuración, FANIA ALL STAR FUTBOL 5 etapa de creación y FUNDACION DE ARTE CULTURA Y DEPORTES KAYROS etapa de preparación.
Con lo anterior, se evidencia el cumplimiento de la meta para la vigencia 2023.
</t>
  </si>
  <si>
    <t>Enfoque territorial:  Las 5 organizaciones reportadas se encuentran ubicadas en el Distrito Capital así:
AQUARIUS JOKER’S PARALYMPIC SPORT SCHOOL localidad de San Cristóbal
CLUB DEPORTIVO SIN LIMITES DE USME localidad de Usme, 
CORPORACION SOCIAL CURVAS EN BICI localidad de Teusaquillo, 
FANIA ALL STAR FUTBOL Localidad de Ciudad Bolívar 
FUNDACION DE ARTE CULTURA Y DEPORTES KAYROS localidad de Engativá
Enfoque diferencial - poblacional:  Las organizaciones reportadas de acuerdo con su misionalidad, se enfocan de la siguiente manera:
AQUARIUS JOKER’S PARALYMPIC SPORT SCHOOL - Discapacidad
CLUB DEPORTIVO SIN LIMITES DE USME - Discapacidad 
CORPORACION SOCIAL CURVAS EN BICI - Movilidad Sostenible 
FANIA ALL STAR FUTBOL Localidad de Ciudad Bolívar - Discapacidad
FUNDACION DE ARTE CULTURA Y DEPORTES KAYROS - Juventud</t>
  </si>
  <si>
    <t>Debido a que el periodo de medición del indicador es anual, se anexa un reporte cualitativo. Para el logro del producto se avanza inicialmente en la identificación de organizaciones sociales que tengan como vocación el deporte. Así, se tienen caracterizadas al 30 de junio en la plataforma de la participación 8 organizaciones deportivas: FUNDACION RECREO DEPORTIVA GUERREROS DEL CACHIBOL, FUNDACIÓN DEPORTIVA EDUCATIVA Y CULTURAL HABLANDO EN SERIO  FUNHASER, ESCUELA DE FORMACIÓN DEPORTIVA ARSENAL B.O.S.A, ESCUELA DE FORMACION DEPORTIVA SPORT SHALON, FUNDACIÓN SOCIAL, CULTURAL Y DEPORTIVA UNIÓN BOGOTÁ, ZBR UNION DEPORTIVA FC, FUNDACIÓN CULTURAL Y DEPORTIVA MULATOS DE COLOMBIA y RED DEPORTIVA MARTHA BELLA. Con las cuales se espera desarrollar la ruta de fortalecimiento hasta su etapa final.</t>
  </si>
  <si>
    <t>Enfoque territorial: En el ejercicio de identificación de organizaciones deportivas en los territorio en el marco de la ruta de fortalecimiento, se han identificado ocho (8)  registradas,  de las cuales 4 se encuentran ubicadas en la localidad de Bosa y 1 respectivamente en San Cristóbal, Engativá, Santa Fe y Suba.
Enfoque poblacional - diferencial.  De las 8 organizaciones, 3 están conformadas por personas jóvenes entre los 18 y 28 años, 1 por personas mayores de 60 o más años, 1 por personas con discapacidad, 2 orientan sus acciones a NNA y 1 se autoidentifica como deportiva sin observar ninguna población.</t>
  </si>
  <si>
    <t xml:space="preserve">Durante el segundo semestre 2024 se reportan cinco (5) organizaciones sociales deportivas, quienes se encuentran en la  Ruta de Fortalecimiento, las cuales son: Un Libro Para Soñar, Trenzando Tejido, Tejido Akapacha, Gran Pez Movimiento. Las cuatro organizaciones sociales finalizaron ruta de fortalecimiento quedando en etapa de consolidación. 
Con respecto a Escuela Deportiva Magestic Futsal, esta organización social se encuentra en primera etapa de ruta de fortalecimiento y continuará ruta en la vigencia 2025. </t>
  </si>
  <si>
    <t xml:space="preserve">Enfoque territorial: En el ejercicio de identificación de organizaciones deportivas en los territorio en el marco de la ruta de fortalecimiento, se han identificado cinco (5)  registradas,  de las cuales 2 se encuentran ubicadas en la localidad de Engativá, 2 respectivamente en Bosa y 1 en la localidad de Ciudad Bolívar. </t>
  </si>
  <si>
    <t>Durante el trimestre se implementaron jornadas deportivas y recreativas en las Unidades de Protección Integral (UPI), con la participación de 1.231 adolescentes y jóvenes en disciplinas como fútbol, baloncesto, natación, futsal, boxeo y voleibol, entre otras.</t>
  </si>
  <si>
    <t>Territorial, poblacional-diferencial</t>
  </si>
  <si>
    <t>Se hizo entrega de la ficha Metodológica  para consolidación de la Cuenta Satélite del Deporte  en Bogotá (CSDB)</t>
  </si>
  <si>
    <t xml:space="preserve">Se ha a trabajo desde el enfoque territorial y diferencial para avanzar en la caracterización de grupos poblacionales, bien sean grupos de valor, grupos de interés o partes interesadas para fortalecer la interrelación de los actores del sector de la recreación, el deporte y actividad física.
</t>
  </si>
  <si>
    <t xml:space="preserve">Durante el primer trimestre de 2023 se realizó la articulación 5 entidades, como las ligas, federaciones y otras entidades de orden particular en el desarrollo de 5 eventos deportivos y de alto rendimiento. Los eventos se desarrollan en diferentes parques y escenarios del distrito. </t>
  </si>
  <si>
    <t>Poblacional – Diferencial: Se articuló acciones con ligas, federaciones y otras entidades de orden distrital para el desarrollo e implementación de eventos deportivos y de alto rendimiento de orden distrital, contando con la participación de personas de todos los grupos etarios y sociales.</t>
  </si>
  <si>
    <t>Durante el segundo trimestre de 2023 se realizó la articulación con 5entidades, como las ligas, federaciones y otras entidades de orden particular en el desarrollo de 10 eventos deportivos y de alto rendimiento del sector convencional y paralímpico.  Los eventos se desarrollan en diferentes parques y escenarios del distrito. 
- Se articuló con 3 ligas el desarrollo de 6 eventos.</t>
  </si>
  <si>
    <t>Poblacional – Diferencial: Se articuló acciones con ligas, federaciones y otras entidades de orden distrital para el desarrollo e implementación de eventos deportivos y de alto rendimiento de orden distrital, contando con la participación de personas de todos los grupos etarios y sociales, tanto del sector convencional como paralímpico. 
Género: No se cuenta con reporte del número total de hombres y mujeres, sin embargo, los eventos realizados en articulación con las ligas, federaciones y demás entidades, están dirigidas a las y los deportistas de alto rendimiento y aquellos que desean ingresar a los procesos deportivos tanto del sector convencional como del Paralímpico.</t>
  </si>
  <si>
    <t>Durante el tercer trimestre de 2023 se realizó la articulación con 18 entidades, como las ligas y federaciones en el desarrollo de 22 eventos deportivos y de alto rendimiento del sector convencional y paralímpico.  Los eventos se desarrollan en diferentes parques y escenarios del distrito. 
-	Se articuló con 17 ligas el desarrollo de 21 eventos.
-	Se articuló con 1 federación el desarrollo de 1 evento. 
Los eventos desarrollados fueron: 
1.	CAMPEONATO INTERNACIONAL DE SOFTBOL 
2.	IV CAMPEONATO NACIONAL BEISBOL U18
3.	GRAND PRIX INTERNACIONAL DE ATLETISMO
4.	CAMPEONATO GRAN PRIX NACIONAL Y PRACTICA LIBRE DE CANOTAJE POBLACIÓN EN GENERAL
5.	TORNEO NACIONAL 3*3 
6.	TRIATLÓN DEL VERANO
7.	Festival de Verano Bogotá 2023 – Actividades Subacuáticas
8.	"CAMPEONATO NACIONAL INTERCLUBES DE PISTA Y RUTA PREJUVENIL"
9.	AJP TOUR COLOMBIA NATIONAL JIUJITSU CHAMPIONSHIP 2023
10.	FUTBOL DE SALON
11.	"CAMPEONATO ABIERTO DE TEJO MODALIDAD TRIOS EXHIBICION DEL TEJO "
12.	FESTIVAL DE VERANO WRESTLING COMBAT SPORT 2023 BOGOTÁ D.C LUCHA OLIMPICA
13.	"LIGA NACIONAL DE BOXEO TIPO WBS MAYORES ELITE"
14.	TORNEO NACIONAL E INTERNACIONAL BALONMANO PLAYA
15.	CAMPEONATO NACIONAL DE MAYORES Y ABIERTO FESTIVAL DE VERANO - TENIS DE MESA
16.	AQUA FESTIVAL 2023 - NATACIÓN CLAVADOS
17.	FESTIVAL DE VERANO BMX 2023 
18.	FESTIVAL DE VERANO BOGOTA EXTREMA BMX FRESTYLE 2023
19.	CICLISMO RUTA
20.	"CAMPEONATO COPA CIUDAD DE BOGOTA"
21.	II MARATON DE PATINAJE 
22.	JUEGOS DISTRITALES INTERCOLEGIADOS: AJEDREZ, FÚTBOL SALA, FÚTBOL DE SALÓN, VOLEIBOL Y FÚTBOL.</t>
  </si>
  <si>
    <t>Poblacional – Diferencial: Se articuló acciones con ligas, federaciones y otras entidades de orden distrital para el desarrollo e implementación de eventos deportivos y de alto rendimiento de orden distrital, contando con la participación de personas de todos los grupos etarios y sociales, tanto del sector convencional como paralímpico. 
Género: No se cuenta con reporte del número total de hombres y mujeres, sin embargo, los eventos realizados en articulación con las ligas, federaciones y demás entidades, están dirigidas a las y los deportistas de alto rendimiento y aquellos que desean ingresar a los procesos deportivos tanto del sector convencional como del Paralímpico.</t>
  </si>
  <si>
    <t>Durante el cuarto trimestre de 2023 se realizó la articulación con 5 entidades relacionadas con las ligas en el desarrollo de 6 eventos deportivos y de alto rendimiento. Los eventos se desarrollan en diferentes parques y escenarios del distrito capital. 
Los eventos desarrollados fueron: 
1.	Campeonato Nacional de Pista categoría Única
2.	Torneo Nacional Federado de Voleibol Playa Sub-15, Sub19 y Sub 21
3.	Juegos Distritales Intercolegiados
4.	"II Copa Nacional Abierta Interligas e Interclubes en las Categorías M9, M11, M13. Precadete, Cadete, Juvenil Y Mayores"
5.	Campeonato Navideño Bola Rápida
6.	Campeonato Alcaldía Mayor de Bogotá (Copa Navidad) Boxeo</t>
  </si>
  <si>
    <t>Poblacional – Diferencial: Se llevaron a cabo acciones coordinadas con ligas para el desarrollo e implementación de eventos deportivos y de alto rendimiento a nivel distrital, con la participación activa de personas de todas las edades y estratos sociales.
Género: Aunque no disponemos de un informe detallado sobre el número total de participantes según su género, es importante destacar que los eventos realizados en colaboración con las ligas están diseñados para deportistas de alto rendimiento, brindando oportunidades tanto a mujeres como a hombres interesados en integrarse a los procesos deportivos, tanto en el sector convencional como en el Paralímpico.</t>
  </si>
  <si>
    <t>Durante el primer semestre de 2024, se logró una articulación exitosa con cinco entidades relacionadas como ligas y federaciones deportivas, incluyendo la Federación Colombiana de Tenis, la Federación Colombiana de Esgrima, la Federación Colombiana de Billar, la Federación Colombiana de Karate Do y la Liga de Softbol de Bogotá. Estas actividades no solo promovieron la práctica deportiva y el alto rendimiento, sino que también fortalecieron los lazos entre las ligas y federaciones, y contribuyeron a posicionar a Bogotá como un importante centro de actividades deportivas en Colombia. Esta colaboración permitió el desarrollo de cinco actividades deportivas y de alto rendimiento, los cuales se llevaron a cabo en diversos parques y escenarios del distrito capital.
Las actividades y/o eventos realizados fueron los siguientes:
1. Copa Davis Colombia vs Luxemburgo: Un enfrentamiento internacional de alto nivel en el mundo del tenis, que atrajo a numerosos aficionados y promovió la práctica de este deporte en el país.
2. III Copa Nacional Abierta Interligas e Interclubes: En las categorías Precadete, Cadete, Juvenil y Mayores, tanto a nivel individual como por equipos, fomentando la competencia y el desarrollo de habilidades en esgrima.
3. Copa Mundo de Billar en la Modalidad Tres Bandas Individual: Un evento de prestigio mundial que reunió a los mejores jugadores de billar, elevando el perfil del deporte a nivel nacional.
4. Campeonato Nacional Interligas e Interclubes de Karate Do: Un torneo que destacó la técnica y la disciplina en el arte marcial del karate, impulsando su práctica entre jóvenes y adultos.
5. Campeonato Distrital de Softbol 2024-2025: Un campeonato que consolidó la participación de diversos equipos locales, promoviendo el softbol como una actividad deportiva clave en la región.</t>
  </si>
  <si>
    <t>Enfoque Poblacional-Diferencial: La articulación con cinco entidades deportivas permitió el desarrollo de cinco actividades de alto rendimiento en diversos parques y escenarios del distrito capital. Estas actividades y/o eventos, como la Copa Davis Colombia vs Luxemburgo y el Campeonato Nacional Interligas e Interclubes de Karate Do, fueron diseñados para incluir y beneficiar a una amplia gama de participantes de diferentes edades, géneros y contextos sociales. La participación de jóvenes, adultos y personas con distintos niveles de experiencia deportiva promueve la práctica deportiva en las y los interesados en practicar deporte. 
Enfoque de Género: En la articulación con cinco entidades deportivas, se desarrollaron actividades que incluyeron tanto a mujeres como a hombres. Aunque no se dispone de un informe detallado sobre el número total de participantes según su género, se aseguró que las actividades fueran inclusivas y accesibles para todos las y los deportistas, sin distinción de género. Estas actividades proporcionaron oportunidades equitativas para que tanto mujeres como hombres se integraran a los procesos deportivos, promoviendo la igualdad de género y fomentando la participación de las mujeres en el deporte de alto rendimiento. En cada evento se prioriza la creación de un entorno inclusivo y seguro, donde las diferencias de género sean respetadas y valoradas, contribuyendo así al desarrollo integral de las y los deportistas y al fortalecimiento de la equidad en el ámbito deportivo.</t>
  </si>
  <si>
    <t xml:space="preserve">Durante el segundo semestre, se realizaron acciones en el marco del programa Bogotá Competitiva, donde se logró establecer 25 articulaciones estratégicas con ligas, clubes y organizadores de eventos de carácter distrital, nacional, internacional. Estas alianzas permitieron la participación de los y las deportistas del sector olímpico y paralímpico, así como el desarrollo de eventos de nuevas tendencias deportivas, los cuales se detallan a continuación:
Eventos Internacionales:
1. Direct TV Open Bogotá - Challenger Tour.
2. Campeonato Mundial de Fútbol Femenino Sub-20.
3. Open Panamericano de Judo.
4. I Campeonato Regional Selectivo – Individual, Equipos Bc1 Y Bc2 Bogotá   
Eventos Nacionales:
5. Clasificatorio Juegos Nacionales Juveniles de baloncesto masculino y femenino.
6. Batalla de Boyacá Breaking-Juvenil y Adultos.
7. Clasificatorio Juegos Nacionales Juveniles de Colombia.
8. Gran Nacional de Esgrima.
9. III Copa Colombia de Lucha Olímpica
Eventos Distritales:
10. Bmx Freestyle - Park Y Flatland 2024
11. Super Caucho - Evento Distrital / Abierto
12. Prueba piloto de la implementación del plan pedagógico del eSports en el Movistar Game Club.
13. eSports en alianza interinstitucional con Colsubsidio en el BLOC Colsubsidio las Américas. 
14. Try Out de la selección Colombia de Roller Derby.
15. Evento Distrito A - Festival de deportes alternativos y electrónicos
Sector Olímpico: En el período los y las deportistas de Bogotá Competitiva del sector Olímpico han obtenido participaciones y resultados destacados en los siguientes eventos deportivos: 
1. Campeonato Nacional Categoría Mayores –Tejo, Yopal.
2. I Juegos Nacionales Juveniles, Eje Cafetero 2024.
Sector Paralímpico: En el período el equipo de Bogotá competitiva del sector paralímpico tuvo participación en los siguientes certámenes deportivos:
3. Juegos Sudamericanos Escolares Bucaramanga diciembre 2024 con la participación de dos para nadadores Laura ladino y David Melo.
4. VI Juegos Panamericanos de Sordos en Brasil con las disciplinas deportivas de para natación- tenis mesa y para atletismo.
5. XVIII Juegos Nacionales FEDEDIV 2024 en las disciplinas de ajedrez, bowling, goalbal, judo y futbol para ciegos.
6. Open Interclubes de para natación en Bucaramanga. 
7. Meeting y Campeonato Nacional Interligas 2024 con la participación de 46 para atletas juveniles y mayores.
8. Campeonato Selectivo de Boccia bc3 y bc4 y parejas en Cali.
9. I Abierto Nacional de Natación Intelectual categoría juvenil y mayores preparatorios a I Juegos Para Juveniles Eje Cafetero 2024.
10. Campeonato Nacional de Paracycling pista ruta
</t>
  </si>
  <si>
    <t xml:space="preserve">Enfoque poblacional diferencial: En el marco del programa Bogotá Competitiva mediante la inclusión activa de diversos grupos poblacionales, con especial énfasis en los sectores olímpico y paralímpico. A través de la participación de deportistas de diferentes edades y capacidades, se favoreció la igualdad de oportunidades en eventos tanto distritales como nacionales e internacionales. Además, se promovieron actividades que abarcaron una amplia gama de disciplinas, desde deportes tradicionales hasta deportes alternativos y electrónicos, garantizando la accesibilidad y la inclusión para niños, niñas, adolescentes y personas con discapacidad, contribuyendo al desarrollo de competencias y la visibilidad de estos grupos en el ámbito deportivo.
Enfoque de género: se implementó mediante la promoción activa de la participación de mujeres y hombres en los eventos deportivos. Se garantizó la inclusión de ambos géneros en diversas competencias, destacando logros y resultados importantes tanto de deportistas masculinos como femeninos. Además, en eventos como el Distrito A - Festival de deportes alternativos y electrónicos, se propició la participación de mujeres en deportes menos convencionales, fomentando la igualdad de oportunidades y el empoderamiento femenino en el ámbito deportivo. </t>
  </si>
  <si>
    <t>Poblacional-diferencial, género</t>
  </si>
  <si>
    <t>Se llevaron a cabo cuatro (4)  eventos  impulsados por el Clúster del Deporte para el fortalecimiento de la economía del sector del deporte, recreación y actividad física. Los cuales se relacionan a continuación:
1. Lanzamiento del Clúster del Deporte
2. Expo Activa 2022
3. Acompañamiento para la construcción de la hoja de ruta y la Gobernanza del Clúster del Deporte
4. Participación en Vassar 2022 con stands seleccionados por el Clúster del Deporte</t>
  </si>
  <si>
    <t xml:space="preserve">Se ha fortalecido la interrelación de los actores del sector de la recreación, el
deporte y actividad física a través de la implemención una Iniciativa de clúster
para el sector del deporte la recreación y la actividad física, teniendo como criterio básico la aplicación del enfoque de derechos humanos, ambiental, diferencial y territorial.  Como resultado se ello, se evidencia un impacto positivo en diferentes actores que conforman el sector. 
</t>
  </si>
  <si>
    <t>Se realizó un Comite técnico Convenio de Cooperación DANE-IDRD 
CARACTERIZACION: mesas de trabajo con el programa de Gestión Deportiva para la caracterización de los actores formales del sector, discusión del instrumento de medición, desarrollado por el IDRD</t>
  </si>
  <si>
    <t>Derechos Humanos, Poblacional-diferencial, Territorial, Ambiental.</t>
  </si>
  <si>
    <t>Se finalizó este producto con la producción de un informe de gestión sobre todo el proyecto.</t>
  </si>
  <si>
    <t>En el 2024 el Instituto Distrital de Recreación y Deporte presenta los segundos resultados de la cuenta Satélite del deporte de Bogotá y firma el memorando de entendimiento con la Cámara de Comercio de Bogotá el cual permite, el trabajo en conjunto en la iniciativa del Clúster del Deporte de Bogotá, para medición de la participación de la economía del sector deporte en el PIB de la ciudad.</t>
  </si>
  <si>
    <t>No aplica</t>
  </si>
  <si>
    <t>De acuerdo al plan de acción CONPES 23 de 2022, este indicador no cuenta con reporte para la vigencia 2024.</t>
  </si>
  <si>
    <t>Más allá del componente físico, las actividades deportivas promovieron hábitos de vida saludable, convivencia, trabajo colaborativo y apropiación de valores ciudadanos, alineados con los principios del Modelo Pedagógico del IDIPRON. El deporte se consolidó como una estrategia pedagógica para canalizar la energía, fortalecer la autodisciplina y desarrollar competencias socioemocionales, contribuyendo a la reducción de riesgos asociados a la exclusión social o al consumo de sustancias psicoactivas.</t>
  </si>
  <si>
    <t>Poblacional Diferencial, Derechos Humanos</t>
  </si>
  <si>
    <t xml:space="preserve">Durante el año 2022, las instituciones educativas vinculadas al Programa Muévete Bogotá desarrollaron el Servicio Social Estudiantil Obligatorio a través de la estrategia de alfabetización física, mayormente en la modalidad presencial donde se conforman 40 grupos de estudiantes distribuidos en 16 localidades del distrito; contando con la participaron de 840 estudiantes. </t>
  </si>
  <si>
    <t>Poblacional – Diferencial: De los 840 estudiantes, 831 se encuentran entre los 15 a 17 años y 9 estudiantes fueron mayores de 18 años, cursando los grados novenos, décimo y once; los cuales recibieron su certificación con la aprobación de 80, 100 y 120 horas.
Grupos conformados y número de estudiantes por localidad:
1. Usaquén: se conformaron 2 grupos con 32 estudiantes. 
2. Chapinero: se conformaron 2 grupos con 19 estudiantes.
3. Santa Fe: se conformó 1 grupo con 6 estudiantes.
4. San Cristóbal: se conformaron 3 grupos con 107 estudiantes.
5. Usme: se conformaron 3 grupos con 50 estudiantes.
6. Tunjuelito: se conformó 1 grupo con 11 estudiantes.
7. Bosa: se conformaron 5 grupos con 84 estudiantes.
8. Kennedy: se conformaron 7 grupos con 171 estudiantes.
9. Engativá: se conformaron 5 grupos con 66 estudiantes.
10. Suba: se conformaron 2 grupos con 65 estudiantes.
11. Barrios Unidos: se conformaron 2 grupos con 47 estudiantes.
12. Antonio Nariño: se conformó 1 grupo con 13 estudiantes.
13. Puente Aranda; se conformó 1 grupo con 20 estudiantes.
14. La Candelaria: se conformó 1 grupo con 19 estudiantes.
15. Rafael Uribe Uribe: se conformó 1 grupo con 33 estudiantes.
16. Ciudad Bolívar: se conformaron 3 grupos con 97 estudiantes.
Género: Estudiantes por género y rango etario: 
- Estudiantes entre 13 y 17 años: 425 del género femenino y 406 del género masculino. 
- Estudiantes mayores de 18 años: 2 del género femenino y 7 del género masculino.</t>
  </si>
  <si>
    <t>se llevó a cabo una reunión de las 4 mesas de trabajo con el propósito de definir el Plan de Acción del 2023. Adicionalmente, se hizo una jornada de networking, con la participación de 18 organizaciones, en las instalaciones del Comité Olímpico Colombiano, en donde llevaron a cabo la presentación de su propuesta de valor, como organizaciones individuales, y los objetivos que buscan cumplir al entablar alianzas con otros representantes del sector.</t>
  </si>
  <si>
    <t>Para el 30 de junio de 2023 esta meta tuvo una ejecución del 100% con respecto a lo programado.</t>
  </si>
  <si>
    <t>Para el primer semestre se planificaron realizar cuatro mesas de trabajo de donde se van a desarrollar los  eventos para fortalecer  la economía del sector deportivo impulsados por el Clúster del Deporte, por lo cual se ha diseñado una estructura y unas mesas técnicas a desarrollar durante el segundo semestre.</t>
  </si>
  <si>
    <t>Derechos Humanos: Los eventos organizados por el Clúster del Deporte son diseñados para promover la igualdad de oportunidades y el respeto por los derechos humanos. Esto implica garantizar que todas las personas, independientemente de su género, origen étnico, o condición socioeconómica, tengan acceso y participación equitativa en las actividades deportivas y recreativas.
Poblacional-diferencial:  Se busca que estos eventos se adapten a las necesidades y características de diversos grupos poblacionales, como niños, adultos mayores, personas con discapacidad, y comunidades vulnerables. La planificación incluye programas específicos que reconozcan y respondan a las particularidades de cada grupo, asegurando su inclusión y fomentando su bienestar.
Territorial: Los eventos estan contextualizados dentro de las características y recursos de cada territorio. Esto incluye aprovechar las infraestructuras locales, la cultura deportiva regional, y los recursos naturales disponibles, para desarrollar actividades que no solo beneficien al sector deportivo, sino que también enriquezcan la identidad y cohesión social de las comunidades locales.
Ambiental: La sostenibilidad es clave en la organización de estos eventos. Las actividades promovidas por el Clúster del Deporte aportaran en la minimización de impacto ambiental, utilizando prácticas ecoeficientes, gestionando adecuadamente los residuos generados, y fomentando la conciencia ecológica entre los participantes y el público.
Estos enfoques integrados permiten que los eventos del Clúster del Deporte no solo contribuyan al crecimiento económico del sector, sino que también promuevan un desarrollo inclusivo, equitativo y sostenible, alineado con los valores y necesidades de la sociedad en su conjunto.</t>
  </si>
  <si>
    <t>Durante la vigencia 2024 se logró la realización de 15 eventos impulsados por el cluster del deporte para el fortalecimiento de la economia del deporte, del sector deporte, recreación y actividad física, a través de charlas en el marco de la capacitación en arbitraje deportivo y turismo deportivo.
Se supera ligeramente las 14 eventos  previstos, lo que constituye una sobre ejecución de un evento. Esta sobre ejecución se justifica por la alta demanda y el interés del sector, lo cual resultó en un esfuerzo adicional para maximizar el impacto de esta actividad formativa.</t>
  </si>
  <si>
    <t>Derechos Humanos: Los eventos organizados por el Clúster del Deporte son diseñados para promover la equidad en el acceso a la formación y la capacitación, garantizando que todos los sectores del deporte y la recreación puedan participar en las actividades sin barreras.
Poblacional Diferencial: Se busca que estos eventos se adapten a las necesidades y características de diversos grupos poblacionales, como niños, adultos mayores, personas con discapacidad, y comunidades vulnerables. La planificación incluye programas específicos que reconozcan y respondan a las particularidades de cada grupo, asegurando su inclusión y fomentando su bienestar.
Territorial: Los eventos estan contextualizados dentro de las características y recursos de cada territorio. La priorización de la implementación de las actividades en zonas donde el sector del deporte y la recreación necesite mayores recursos o tenga menos oportunidades de crecimiento.
Ambiental: La sostenibilidad es clave en la organización de estos eventos. Las actividades promovidas por el Clúster del Deporte, tienen en cuenta temas relacionados sobre innovación y la importancia de implementar prácticas sostenibles en los emprendimientos y proyectos deportivos, promoviendo la sostenibilidad en el sector.</t>
  </si>
  <si>
    <t xml:space="preserve">Durante la vigencia 2022 se identificaron 239 NNAJ como posibles talentos, para el diagnóstico e identificación se realizaron Festivales o eventos de identificación de talentos: Durante el año 2022 se llevaron a cabo 5 festivales de la etapa de talento y reserva. Donde se convocó a NNAJ pertenecientes a los diferentes programas del IDRD, así como de las ligas, clubes y en general aquellas personas interesadas y con habilidades y destrezas deportivas. Fortaleciendo el relevo generacional, haciendo énfasis en desarrollar la individualidad de cada atleta, para no acelerar los procesos, sino brindar un apoyo especializado bajo las necesidades de cada beneficiario
En los festivales se realizaron actividades de carácter precompetitivo en cada uno de los deportes convocados, lo que permitió observar con mayor precisión las cualidades y capacidades de los participantes que se reflejaron en los resultados. Permitiendo de esta manera acercar al deportista de manera lúdica a los componentes de preparación, y fortalecimiento de las habilidades propias del deporte y la competencia. La intención de la estrategia de talento y reserva es realizar la transición de los deportistas a la etapa de tecnificación y rendimiento deportivo conforme a los establecido en la Resolución 777 del 2021. 
Nota: se debe indicar que se reestructuró la meta de inclusión de deportistas a la etapa de Talento y Reserva para el presente año, puesto que la realización de eventos distritales, asistencia a eventos nacionales e internacionales, generó un ingreso importante de beneficiarios en la etapa en mención. </t>
  </si>
  <si>
    <t xml:space="preserve">Poblacional – Diferencial: Se cuenta con la participación de 239 niños, niñas, adolescentes y jóvenes que participen de programas y/o proyectos deportivos en la etapa de iniciación y/o formación deportiva de programas públicos o privados. Así mismo, aquellos que hagan parte o no del Sistema Nacional del Deporte: Escuelas deportivas, Clubes deportivos, Clubes Sociales, Cajas de Compensación, Colegios públicos y privados, Programas institucionales de las diferentes entidades de Bogotá o del IDRD como Escuelas de mi barrio EMB y Jornada Escolar Complementaria - JEC, o todo aquel deportista que quiera postularse a la etapa de Talentos y Reserva Bogotá.
Género: De los 239 NNAJ beneficiados en la etapa de talento y reserva, 102 pertenecen al género femenino y 137 al masculino. </t>
  </si>
  <si>
    <t xml:space="preserve">Durante el primer trimestre de 2023, las instituciones educativas vinculadas al Programa Muévete Bogotá manifiestan interés por desarrollar el Servicio Social Estudiantil Obligatorio a través de la estrategia de alfabetización física, mayormente en la modalidad presencial. A la fecha se está llevando a cabo procesos con 3 grupos contando con la participación de 82 estudiantes de 3 localidades. </t>
  </si>
  <si>
    <t xml:space="preserve">Poblacional – Diferencial: los 82 estudiantes se encuentran en la etapa escolar entre los grupos etarios de infancia y adolescencia y juventud, cursando los grados 9°, 10° y 11°
Grupos por localidad: </t>
  </si>
  <si>
    <t>Durante el segundo trimestre de 2023, las instituciones educativas vinculadas al Programa Muévete Bogotá manifiestan interés por desarrollar el Servicio Social Estudiantil Obligatorio a través de la estrategia de alfabetización física, mayormente en la modalidad presencial. A la fecha se está llevando a cabo procesos con 9 grupos contando con la participación de 196 estudiantes de 9 instituciones educativas distritales en 5 localidades.</t>
  </si>
  <si>
    <t>Poblacional – Diferencial: los 196 estudiantes se encuentran en la etapa escolar dentro del grupo adolescentes, cursando los grados 10° y 11°. Así mismo, 94 fueron femeninos y 102 masculinos. 149 son del grado décimo y 47 del grado once. 
Grupos por localidad: 
1. Usaquén: 2 grupos con 41 estudiantes. 
2. Kennedy: 3 grupos con 80 estudiantes
3. Suba: 1 grupo del con 20 estudiantes.
4. Barrios Unidos: 1 grupo con 29 estudiantes. 
5. Antonio Nariño: 2 grupos con 26 estudiantes.</t>
  </si>
  <si>
    <t>Durante el periodo comprendido a 31 de octubre de 2023, las instituciones educativas vinculadas al Programa Muévete Bogotá manifiestan interés por desarrollar el Servicio Social Estudiantil Obligatorio a través de la estrategia de alfabetización física, mayormente en la modalidad presencial. A la fecha se está llevando a cabo procesos con 18 grupos contando con la participación de 414 estudiantes de 18 instituciones educativas distritales en 9 localidades.</t>
  </si>
  <si>
    <t>Poblacional – Diferencial: los 414 estudiantes se encuentran en la etapa escolar dentro del grupo adolescentes, cursando los grados 10° y 11°. Así mismo, 190 fueron femeninos y 224 masculinos. 
Grupos por localidad: 
1.	Usaquén: 2 grupos con 37 estudiantes. 
2.	Chapinero: 1 grupo con 24 estudiantes.
3.	San Cristóbal: 2 grupos con 29 estudiantes.
4.	Bosa: 3 grupos con 111 estudiantes.
5.	Kennedy: 4 grupos con 83 estudiantes
6.	Engativá: 1 grupo con 28 estudiantes.
7.	Suba: 1 grupo del con 20 estudiantes.
8.	Barrios Unidos: 2 grupos con 56 estudiantes. 
9.	Antonio Nariño: 2 grupos con 26 estudiantes.</t>
  </si>
  <si>
    <t>Durante el año 2023, 19 instituciones educativas asociadas al Programa Muévete Bogotá expresaron su interés en implementar el Servicio Social Estudiantil Obligatorio mediante la estrategia de “Alfabetización Física”, predominantemente en la modalidad presencial. Actualmente, se están llevando a cabo procesos con 19 grupos, con la participación activa de 433 estudiantes en 10 localidades del distrito.
El programa de Alfabetización Física tiene como objetivo de formar a los estudiantes que realizan su Servicio Social Estudiantil Obligatorio, en temas asociados a Alfabetización y promoción de Actividad Física, generando apropiación de estos y réplica en su entorno escolar y familiar, a partir del proceso liderado por los profesionales de Muévete Bogotá, desde la caracterización del contexto en atención a las necesidades identificadas frente a aspectos relacionados con la Actividad Física.</t>
  </si>
  <si>
    <t>Enfoque Poblacional – Diferencial: El desarrollo del proceso se centró en estudiantes inscritos que llevaron a cabo su Servicio Social Estudiantil Obligatorio (SSEO) a través del programa Muévete Bogotá, estructurándose en tres fases clave:
1.	Primera Fase: Inscripción y Vinculación: En esta etapa, se facilitó la inscripción y vinculación de los estudiantes al programa, estableciendo una conexión inicial para su participación activa.
2.	Segunda Fase: Temáticas SSEO 2023: Durante esta fase, se abordaron temáticas relevantes correspondientes al año 2023, proporcionando a los participantes conocimientos y habilidades específicas en el ámbito de la alfabetización física.
3.	Tercera Fase: Trámite de Certificación: La conclusión del programa implicó el proceso de certificación, donde se evaluaron los logros y participación de los estudiantes, brindándoles el reconocimiento formal de su servicio.
De los 433 estudiantes que participaron en este proceso, 196 son mujeres y 237 son hombres, todos pertenecientes a los grados 10° y 11° de 19 instituciones educativas distribuidas estratégicamente en 10 localidades. Este enfoque poblacional diferencial garantizó la representación equitativa de género y la inclusión de diversas comunidades educativas en diferentes puntos de la ciudad.
Enfoque territorial: Los grupos de estudiantes en alfabetización física se conformaron estratégicamente en 10 localidades. Este enfoque territorial busca abordar las necesidades específicas de cada comunidad, promoviendo la participación activa y el impacto local en el marco del programa Muévete Bogotá. Las localidades seleccionadas fueron cuidadosamente elegidas para garantizar una cobertura equitativa y efectiva, permitiendo así una intervención integral y adaptada a las características particulares de cada entorno.
1.	Usaquén: Se conformaron 2 grupos con 37 estudiantes. 
2.	Chapinero: Se conformó 1 grupo con 24 estudiantes.
3.	San Cristóbal: Se conformaron 2 grupos con 29 estudiantes.
4.	Usme: Se conformó 1 grupo con 18 estudiantes.
5.	Bosa: Se conformaron 3 grupos con 112 estudiantes.
6.	Kennedy: Se conformaron 4 grupos con 83 estudiantes
7.	Engativá: Se conformó 1 grupo con 28 estudiantes.
8.	Suba: Se conformó 1 grupo del con 20 estudiantes.
9.	Barrios Unidos: Se conformaron 2 grupos con 56 estudiantes. 
10.	Antonio Nariño: Se conformaron 2 grupos con 26 estudiantes.</t>
  </si>
  <si>
    <t xml:space="preserve">Durante el primer semestre del año 2024, se vincularon y esta en proceso del Servicio Social 14 grupos de instituciones educativas vinculadas al Programa Muévete Bogotá manifestaron interés por desarrollar el Servicio Social Estudiantil Obligatorio (SSEO), mayormente en la modalidad presencial, la cual busca formar a los estudiantes de grados 10° y 11° que llevan a cabo su Servicio Social Estudiantil Obligatorio en temas asociados con la alfabetización física y sus dominios (social, psicológico, cognitivo y físico) y la promoción de actividad física, para generar su apropiación y réplica en sus entornos escolar y familiar. 
</t>
  </si>
  <si>
    <t>Enfoque Poblacional – Diferencial y Género: En cumplimiento del componente curricular exigido para la formación integral del estudiante, el enfoque poblacional diferencial sensibiliza a los participantes sobre las necesidades, intereses, problemas y potencialidades de la comunidad. Buscando desarrollar compromisos, actitudes y acciones que respondan a distintas dinámicas, según lo establecido en la Resolución No.4210 de 1996 del Ministerio de Educación y la Resolución No. 334 de 2014 del IDRD. En este proceso participaron 287 estudiantes de los grados 10° y 11° de los 14 grupos de instituciones educativas distribuidas en 9 localidades, con una representación mayoritaria de 162 mujeres y 125 hombres, garantizando la inclusión de diversas comunidades educativas en diferentes puntos de la ciudad.
Enfoque Territorial: Los grupos de estudiantes en alfabetización física se conformaron estratégicamente en 9 localidades para promover la participación activa y el impacto local dentro del programa de Servicio Social Estudiantil Obligatorio (SSEO). Los grupos focalizados y vinculados al programa son los siguientes:
1.	Usaquén: 2 grupos con 26 estudiantes.
2.	San Cristóbal: 3 grupos con 66 estudiantes.
3.	Usme: 1 grupo con 18 estudiantes.
4.	Bosa: 3 grupos con 72 estudiantes.
5.	Kennedy: 1 grupo con 8 estudiantes.
6.	Engativá: 1 grupo con 27 estudiantes.
7.	Suba: 1 grupo con 30 estudiantes.
8.	Puente Aranda: 1 grupo con 10 estudiantes.
9.	Rafael Uribe: 1 grupo con 30 estudiantes.</t>
  </si>
  <si>
    <t>Durante el periodo, en el marco del PDD “Bogotá Camina Segura”, 18 grupos de instituciones educativas públicas y privadas vinculadas al Programa de Muévete Bogotá participaron en el proceso del Servicio Social Estudiantil. Estos grupos, conformados por estudiantes de grados 10° y 11°, mostraron su interés en desarrollar el Servicio Social Estudiantil Obligatorio (SSEO), recibiendo formación en temas relacionados con la alfabetización física y sus dimensiones sociales, psicológicas, cognitivas y físicas. Esta formación les permite aplicar los conocimientos adquiridos en sus entornos escolares y familiares, promoviendo la actividad física de manera integral. 
Durante el año 2024, un total de 18 grupos de instituciones educativas participaron activamente en la estrategia de Alfabetización Física, lo que refleja un compromiso amplio con la promoción de la actividad física y el bienestar en el ámbito escolar. Estos grupos no solo representaron a diversas instituciones, sino que fueron fundamentales en la implementación y evaluación de programas educativos diseñados para mejorar la salud física y mental de los estudiantes, favoreciendo la integración de la actividad física en su rutina diaria.</t>
  </si>
  <si>
    <t>Enfoque Poblacional – Diferencial y de Género: En cumplimiento con los lineamientos curriculares para la formación integral del estudiante, con el objetivo de fomentar compromisos, actitudes y acciones que respondan a las diversas dinámicas sociales. En este proceso participaron 257 estudiantes de los grados 10° y 11° de 14 grupos de instituciones educativas ubicadas en 9 localidades, con una representación mayoritaria de 139 mujeres y 118 hombres. Esto permitió asegurar la inclusión de diversas comunidades educativas en distintos puntos de la ciudad, promoviendo la actividad física tanto en sus vidas como en su entorno comunitario y familiar.
Enfoque Territorial: Los grupos de estudiantes enfocados en la alfabetización física fueron organizados de manera estratégica en 14 instituciones educativas de 9 localidades, con el objetivo de fomentar la participación activa y generar un impacto local dentro del programa de Servicio Social Estudiantil Obligatorio (SSEO). Las instituciones y grupos vinculados al programa son los siguientes:
1. Usaquén: 2 grupos con 39 estudiantes.
2. Santa Fe: 1 grupo con 12 estudiantes.
2. San Cristóbal: 2 grupos con 47 estudiantes.
3. Usme: 1 grupo con 11 estudiantes.
5. Kennedy: 3 grupos con 55 estudiantes.
6. Engativá: 1 grupo con 23 estudiantes.
7. Suba: 2 grupos con 37 estudiantes.
8. Puente Aranda: 1 grupo con 6 estudiantes.
9. Rafael Uribe: 1 grupo con 27 estudiantes.</t>
  </si>
  <si>
    <t>El equipo pedagógico de las UPI tuvo un rol central en la planificación, ejecución y acompañamiento de las actividades, generando entornos protectores y fomentando la participación activa de los(as) beneficiarios(as). Estos espacios han favorecido el aprovechamiento constructivo del tiempo libre, la permanencia en procesos institucionales y el fortalecimiento de vínculos familiares y comunitarios.</t>
  </si>
  <si>
    <t xml:space="preserve">Durante la vigencia 2022 se realizaron 18 capacitaciones en apoyo y articulación con profesionales tanto del IDRD como de entidades externas con el propósito de brindar herramientas conceptuales para la gestión de los proyectos de inversión, en el marco de los procesos de articulación para así lograr ampliar la base deportiva encaminada hacia el relevo generacional para el deporte de alto rendimiento en la ciudad, contribuyendo en el incremento de los conocimientos y habilidades de los colaboradores, generando conductas positivas que se vean reflejadas en la calidad de los procesos a realizar, tanto en el área administrativa, pedagógica y deportiva.
El objetivo de las capacitaciones es brindar espacios de educación no formal para la socialización de herramientas y contenidos de actualización que propendan por el desarrollo de los proyectos de inversión de la Subdirección Técnica de Recreación y Deporte. 
El plan de capacitación tiene tres líneas de acción: 
● Interna: participan los servidores públicos que tiene interacción con los beneficiarios del proyecto de inversión. 
● Externa: dirigida hacia los beneficiarios de los organismos deportivos, padres y madres de familia y atletas de la ciudad. 
● Transversales: participan los servidores públicos que tiene interacción con los beneficiarios de los 4 proyectos de inversión de la Subdirección Técnica de recreación y Deporte.
</t>
  </si>
  <si>
    <t xml:space="preserve">Poblacional – Diferencial: Las capacitaciones realizadas por el IDRD están dirigidas a diferentes actores en torno a las diferentes prácticas deportivas tanto de forma presencial como virtual, con el fin fortalecer los procesos de los organismos deportivos en los temas relacionados al marco legal y el trámite para el reconocimiento deportivo en clubes y aval para las escuelas deportivas, así como para reforzar conocimientos relacionados a los lineamientos y directrices en materia de deporte. 
De otra parte, se realizaron 3 ciclos de capacitaciones en lenguaje de señas con el objetivo de mejorar los procesos de comunicación entre las familias y los deportistas del sector paralímpico, como de las y los funcionario y colaboradores del IDRD que de una u otra forma interactúan con la población con discapacidad auditiva, como para aquellas personas interesadas en adquirir habilidades comunicativas para la población objeto.
Así mismo, se contó con el desarrollo de capacitaciones enfocadas a la buena  nutrición para los y las atletas de alto rendimiento, autocuidado de la salud mental, control de emociones, disciplina y la gestión de finanzas  personales.
Género: Se contó con un total de 4.224 personas inscritas, 1.284 personas certificados y 604 personas que asistieron y que por el contexto de las temáticas no se otorga certificación. 
- Procesos de Inscripción: Se contó con un total de 4.224 personas inscritas en las diferentes capacitaciones, de los cuales 1.893 fueron mujeres y 2.331 hombres. 
- Procesos de Certificaciones: Se contó con un total de 1.284 personas certificadas en las diferentes capacitaciones, de los cuales 624 fueron mujeres y 660 hombres.
- Procesos de Asistencia: Se contó con un total de 604 personas asistentes en las diferentes capacitaciones, de los cuales 236 fueron mujeres y 368 hombres. En estos procesos de capacitación en la modalidad de asistencia no se otorga certificado. 
</t>
  </si>
  <si>
    <t>A 31 de marzo de 2023 esta meta no tuvo programación ni ejecución. Sin embargo, en el primer trimestre de 2023 se presentó, en las comisiones técnicas de los meses de enero, febrero y marzo, los deportistas que cumplían con los criterios de postulación y una vez aprobados se llevaron a los comités primarios como instancia superior, para que de igual manera se aprobara y validara el ingreso al programa. La consolidación numérica de los deportistas promocionados en cumplimiento de la meta establecida se realizará en el informe del último trimestre de 2023.</t>
  </si>
  <si>
    <t>Está dirigido a niños, niñas, adolescentes y jóvenes que participen de programas y/o proyectos deportivos en la etapa de iniciación y/o formación deportiva de programas públicos o privados. Así mismo, aquellos que hagan parte o no del Sistema Nacional del Deporte: Escuelas deportivas, Clubes deportivos, Clubes Sociales, Cajas de Compensación, Colegios públicos y privados, Programas institucionales de las diferentes entidades de Bogotá o del IDRD como Escuelas de mi Barrio EMB y Jornada Escolar Complementaria JEC, o todo aquel deportista que quiera postularse a la etapa de Talentos y Reserva Bogotá.</t>
  </si>
  <si>
    <t>Durante el segundo trimestre de 2023, se dio continuidad en las comisiones técnicas de los meses de abril, mayo y junio, la presentación de los deportistas que cumplen con los criterios de postulación y una vez aprobados se llevaron a los comités primarios como instancia superior, para que se aprobara y validara el ingreso al programa. 
La consolidación numérica de los deportistas promocionados en cumplimiento de la meta establecida se realizará en el informe del último trimestre de 2023.</t>
  </si>
  <si>
    <t>Programa dirigido a niños, niñas, adolescentes y jóvenes que participen de programas y/o proyectos deportivos en la etapa de iniciación y/o formación deportiva de programas públicos o privados. Así mismo, aquellos que hagan parte o no del Sistema Nacional del Deporte: Escuelas deportivas, Clubes deportivos, Clubes Sociales, Cajas de Compensación, Colegios públicos y privados, Programas institucionales de las diferentes entidades de Bogotá o del IDRD como Escuelas de mi Barrio EMB y Jornada Escolar Complementaria JEC, o todo aquel deportista que quiera postularse a la etapa de Talentos y Reserva Bogotá.</t>
  </si>
  <si>
    <t>A 31 de octubre de 2023, se mantienen las acciones internas establecidas dentro del proceso de consecución de posibles talentos deportivos en correspondencia con los procesos de formación y promoción de deportistas cumpliendo los requisitos establecidos en la resolución No 777 de 2021, realizando las comisiones técnicas que soportan las postulaciones y, así mismo los comités primarios donde son aprobadas las novedades correspondientes,  donde se resalta especialmente el  ingreso  al  programa de setenta y  cuatro (74) deportistas de  diferentes agrupaciones y modalidades deportivas. Igualmente se relacionan las novedades de permanencia en el programa de veintiséis (26) deportistas; suspensiones veintiocho (28) novedades; levantamiento de suspensión veintisiete (27) novedades, reclasificaciones de deportistas a las etapas de tecnificación o rendimiento tres (3) deportistas y retiros del programa doce (12) deportistas
La consolidación numérica de los deportistas promocionados en cumplimiento de la meta establecida se realizará en el informe del último trimestre de 2023.</t>
  </si>
  <si>
    <t xml:space="preserve">Se realizó el sexto festival de Talento y Reserva en el mes de septiembre de 2023, teniendo como invitados a los inscritos en los diferentes programas institucionales como las Escuelas de Mi Barrio, Jornada Escolar Complementaria y semilleros, al igual que todos los que hacen parte de la etapa actualmente. 
El objetivo del festival fue generar un espacio de participación interactiva con fines de formación integral, resaltando los valores Olímpicos y Paralímpicos, a través de la realización de actividades técnicas, tácticas, coordinativas y precompetitivas, con el propósito de generar parámetros de identificación de posibles talentos deportivos. 
El festival fue dirigido a niños y niñas entre los 5 y 16 años impactando un total de asistentes de 1016 deportistas. 
</t>
  </si>
  <si>
    <t>Durante el año 2023, se identificaron 131 niños, niñas y adolescentes como posibles talentos deportivos.
En esta fase, el enfoque se centra en fomentar y desarrollar procesos de iniciación deportiva, facilitando la búsqueda, identificación y desarrollo de jóvenes en concordancia con los lineamientos técnicos establecidos por la Subdirección Técnica de Recreación y Deportes del IDRD, tanto en el ámbito olímpico como paralímpico.
Este programa está orientado a niños, niñas, adolescentes y jóvenes que participan en programas o proyectos deportivos en las etapas de iniciación y formación, ya sea de carácter público o privado. Incluye a aquellos vinculados o no al Sistema Nacional del Deporte, como escuelas deportivas, clubes deportivos, clubes sociales, cajas de compensación, colegios públicos y privados, programas institucionales de diversas entidades en Bogotá, así como de iniciativas del IDRD como Escuelas de Mi Barrio EMB y la Jornada Escolar Complementaria - JEC. También se abre a la postulación de cualquier deportista que aspire a ingresar al programa Talentos y Reserva Bogotá.</t>
  </si>
  <si>
    <t xml:space="preserve"> Para alcanzar los objetivos establecidos, se llevaron a cabo diversas actividades que abarcaban la convocatoria, identificación y selección de talentos deportivos. Durante el primer trimestre de 2023, los deportistas que cumplían con los criterios de postulación fueron presentados ante comisiones técnicas. Una vez aprobados en esta instancia, se sometieron a comités primarios como instancia superior para la aprobación y validación de su ingreso al programa.
Con el propósito de potenciar las habilidades y destrezas de los deportistas, se organizaron diversos festivales y eventos de identificación de talentos. Estos eventos tenían como objetivo principal crear un espacio interactivo para la participación y formación integral, resaltando los valores Olímpicos y Paralímpicos. A través de actividades técnicas, tácticas, coordinativas y precompetitivas, se establecieron parámetros para la identificación de posibles talentos deportivos.
En total, participaron 131 Niños, Niñas y Adolescentes (NNA) en 26 disciplinas deportivas. De este grupo, 66 fueron del sexo femenino y 65 del sexo masculino, distribuidos en 18 de infancia, 107 adolescentes y 6 jóvenes. Estos participantes provienen de 19 localidades del distrito, así como de municipios cercanos a Bogotá.</t>
  </si>
  <si>
    <t>Con corte al 30 de junio de 2024, se logró la identificación de 30 niños, niñas y adolescentes como posibles talentos deportivos. Este programa, que se encuentra en la etapa de Rendimiento, tiene como objetivo promover y desarrollar procesos de iniciación deportiva, facilitando la búsqueda, identificación y desarrollo de los y las jóvenes deportistas en concordancia con los lineamientos técnicos de la Subdirección Técnica de Recreación y Deportes del IDRD en los sectores olímpico y paralímpico.
Para el logro de la actividad, se llevaron a cabo actividades de convocatoria, identificación y selección de talentos deportivos. Estas actividades incluyeron el desarrollo del comité primario del IDRD, donde se realizaron las postulaciones y aprobaciones de los ingresos de las y los deportistas. Como resultado, 30 niños, niñas y adolescentes ingresaron al programa, con una representación equitativa de 15 deportistas del sexo femenino y 15 del sexo masculino. Los deportes en los que se identificaron estos talentos incluyen Atletismo, Actividades Subacuáticas, Arquería, Judo, ParaNatación, Karate, Lucha y Natación.</t>
  </si>
  <si>
    <t>Enfoque Poblacional - Diferencial: Durante el primer semestre de 2024, se implementaron actividades de convocatoria, identificación y selección de talentos deportivos con un enfoque poblacional diferencial. Se presentaron deportistas ante comisiones técnicas y comités primarios para su aprobación, logrando identificar a 30 niños, niñas y adolescentes como posibles talentos deportivos en 8 disciplinas deportivas del sector olímpico y paralímpico. El programa, en su etapa de Rendimiento, promovió procesos de iniciación deportiva alineados con los lineamientos técnicos del IDRD en sectores olímpico y paralímpico y se incluyeron participantes de diversos contextos sociales y culturales, asegurando igualdad de oportunidades para todos.
Enfoque de Género: El desarrollo del comité primario del IDRD fue fundamental para las postulaciones y aprobaciones de los deportistas, asegurando la inclusión equitativa de género. Como resultado, 30 niños, niñas y adolescentes ingresaron al programa, con una representación balanceada de 15 deportistas femeninos y 15 masculinos. Estos talentos fueron identificados en disciplinas como Atletismo, Actividades Subacuáticas, Arquería, Judo, ParaNatación, Karate, Lucha y Natación. La igualdad de género se garantizó en cada etapa del proceso, reflejando el compromiso del programa con la equidad y la inclusión en el deporte.</t>
  </si>
  <si>
    <t xml:space="preserve">Como parte de la estrategia de identificación y selección de talentos deportivos meta que hace parte de dos proyectos de inversión, durante el segundo semestre de 2024 se logró identificar a 102 niños, niñas, adolescentes y jóvenes en diversas disciplinas deportivas. Estas disciplinas incluyen categorías como: tiempo y marca terrestre, tiempo y marca acuático, arte competitivo y precisión, combate, raqueta y paralímpico, abarcando un total de 18 disciplinas. Este proceso se llevó a cabo conforme a los criterios establecidos, permitiendo el ingreso a la etapa de postulación y cumpliendo con los parámetros establecidos en la Resolución No. 1510 de 2024.
De forma general, durante la vigencia 2024, se logró realizar la identificación de 132 deportistas que ingresaron a la etapa de Talento y Reserva.
Nota: Se está presentando una sobreejecución en la meta, ya que se están contabilizando los deportistas seleccionados en los dos planes de desarrollo, correspondientes al período de enero a junio y al de julio a diciembre. Esto se debe a que la meta tuvo continuidad dentro del marco del PDD 'Bogotá Camina Segura y hubo cambio de la magnitud para la vigencia. </t>
  </si>
  <si>
    <t xml:space="preserve">Enfoque poblacional diferencial: se implementó de manera integral en ambos proyectos de inversión a través de diversas acciones estratégicas adaptadas a las necesidades específicas de cada grupo poblacional. En el Proyecto de Inversión 8154, la identificación y selección de talentos deportivos abarcó un total de 102 niños, niñas, adolescentes y jóvenes, con una diversidad de disciplinas deportivas, garantizando la inclusión de dos deportistas del sector paralímpico. En el Proyecto de Inversión 8159, se implementó un enfoque inclusivo al diseñar un método estandarizado para identificar talentos deportivos, con pruebas físicas y técnicas adaptadas a diversas disciplinas, incluidos los deportes paralímpicos. También se actualizó el plan pedagógico de la Jornada Escolar Complementaria para integrar la detección de talentos. 
Enfoque de género: Se garantizó la equidad en la identificación y selección de talentos deportivos, garantizando la participación de niños, niñas, adolescentes y jóvenes de ambos sexos. De los 102 deportistas seleccionados, 46 fueron mujeres y 56 hombres, lo que refleja una distribución equilibrada entre géneros. </t>
  </si>
  <si>
    <t>Poblacional-diferencial,género</t>
  </si>
  <si>
    <t>Durante el primer trimestre de 2023 se diseñó el plan de capacitaciones y el cronograma de actividades. 
De otra parte, el 28 de marzo se lanzó la convocatoria e inscripción al curso de Curso Fundamentos de Administración Deportiva. en el cual se inscribieron 1.267 personas. El curso finalizará el 2 de mayo de 2023.</t>
  </si>
  <si>
    <t>El curso está dirigido a ciudadanos que pretenden actualizarse y hacer parte de un organismo deportivo según resolución 1150 de 2019.</t>
  </si>
  <si>
    <t>A 30 de junio de 2023 se realizaron 8 capacitaciones en apoyo y articulación con profesionales tanto del IDRD como de entidades externas con el propósito de brindar herramientas conceptuales para la gestión de los proyectos de inversión, en el marco de los procesos de articulación para así lograr ampliar la base deportiva encaminada hacia el relevo generacional para el deporte de alto rendimiento en la ciudad, contribuyendo en el incremento de los conocimientos y habilidades de los colaboradores, generando conductas positivas que se vean reflejadas en la calidad de los procesos a realizar, tanto en el área administrativa, pedagógica y deportiva.
El objetivo de las capacitaciones es brindar espacios de educación no formal para la socialización de herramientas y contenidos de actualización que propendan por el desarrollo de los proyectos de inversión de la Subdirección Técnica de Recreación y Deporte. 
El plan de capacitación tiene tres líneas de acción: 
• Interna: participan los servidores públicos que tiene interacción con los beneficiarios del proyecto de inversión. 
• Externa: dirigida hacia los beneficiarios de los organismos deportivos, padres y madres de familia y atletas de la ciudad. 
• Transversales: participan los servidores públicos que tiene interacción con los beneficiarios de los 4 proyectos de inversión de la Subdirección Técnica de recreación y Deporte.</t>
  </si>
  <si>
    <t>Poblacional – Diferencial: Las capacitaciones realizadas por el IDRD están dirigidas a diferentes actores en torno a las diferentes prácticas deportivas,  tanto de forma presencial como virtual, con el fin fortalecer los procesos de los organismos deportivos en los temas relacionados al marco legal y el trámite para el reconocimiento deportivo en clubes y aval para las escuelas deportivas, así como para reforzar conocimientos relacionados a los lineamientos y directrices en materia de deporte, recreación y actividad física. 
De otra parte, se realizaron ciclos de capacitaciones en lenguaje de señas con el objetivo de mejorar los procesos de comunicación entre las familias y los deportistas del sector paralímpico, como de las y los funcionarios y colaboradores del IDRD que de una u otra forma interactúan con la población con discapacidad auditiva, como para aquellas personas interesadas en adquirir habilidades comunicativas para la población objeto.
- Así mismo, se desarrollaron talleres enfocados a las familias en los procesos de incitación, formación, talento y reserva, con temáticas como: 
- Pautas de crianza
- Validación emocional
- Regulación emocional
- Comunicación Asertiva
- Modelo holístico
- Autocuidado
- Prevención de Sustancias Psicoactivas
- Prevención de violencias
- Resolución de problemas y conflictos
- Resolución 777 del 2021 – Sistema Deportivo Distrital
- Bienvenida al programa de Talento y Reserva
- Resolución 777 del 2021 – Sistema Deportivo Distrital
- Cultura de Alto Rendimiento
- Reconocimiento de habilidades para acompañamiento en la carrera dual.
Género: en las 8 capacitaciones participaron y se certificaron un total de 1.450 personas de las cuales 694 fueron del sexo femenino, 751 masculino y 5 intersexuales.</t>
  </si>
  <si>
    <t>Durante el tercer trimestre de 2023 se realizaron 6 capacitaciones en apoyo y articulación con profesionales tanto del IDRD como de entidades externas con el propósito de brindar herramientas conceptuales para la gestión de los proyectos de inversión, en el marco de los procesos de articulación para así lograr ampliar la base deportiva encaminada hacia el relevo generacional para el deporte de alto rendimiento en la ciudad, contribuyendo en el incremento de los conocimientos y habilidades de los colaboradores, generando conductas positivas que se vean reflejadas en la calidad de los procesos a realizar, tanto en el área administrativa, pedagógica y deportiva.
Las capacitaciones fueron: 
1.	IV FORO DE GOBERNANZA EN EL DEPORTE 2023 "UN RETO PARA EQUIPO BOGOTÁ
2.	II CURSO DE FUNDAMENTOS EN ADMINISTRACIÓN DEPORTIVA 
3.	CAPACITACIÓN LEY DEL ENTRENADOR
4.	FORTALECIMIENTO PSICOLOGICO Y SOCIAL COMPETENCIAS DEPORTIVAS 2023
5.	IV ENCUENTRO DE SABERES DE LAS ESCUELAS DE FORMACIÓN DEPORTIVAS 2023
6.	CURSO DE LENGUA DE SEÑAS COLOMBIANAS: 
A la fecha se han realizado 14 capacitaciones. 
1.	Interna: participan los servidores públicos que tiene interacción con los beneficiarios del proyecto de inversión. 
2.	Externa: dirigida hacia los beneficiarios de los organismos deportivos, padres y madres de familia y atletas de la ciudad. 
3.	Transversales: participan los servidores públicos que tiene interacción con los beneficiarios de los 4 proyectos de inversión de la Subdirección Técnica de recreación y Deporte.
El objetivo de las capacitaciones es brindar espacios de educación no formal para la socialización de herramientas y contenidos de actualización que propendan por el desarrollo de los proyectos de inversión de la Subdirección Técnica de Recreación y Deporte.</t>
  </si>
  <si>
    <t xml:space="preserve">Poblacional – Diferencial: Las capacitaciones realizadas por el IDRD están dirigidas a diferentes actores en torno a las diferentes prácticas deportivas,  tanto de forma presencial como virtual, con el fin fortalecer los procesos de los organismos deportivos en los temas relacionados al marco legal y el trámite para el reconocimiento deportivo en clubes y aval para las escuelas deportivas, así como para reforzar conocimientos relacionados a los lineamientos y directrices en materia de deporte, recreación y actividad física. 
De otra parte, se realizaron ciclos de capacitaciones en lenguaje de señas con el objetivo de mejorar los procesos de comunicación entre las familias y los deportistas del sector paralímpico, como de las y los funcionarios y colaboradores del IDRD que de una u otra forma interactúan con la población con discapacidad auditiva, como para aquellas personas interesadas en adquirir habilidades comunicativas para la población objeto.
Género: en las 6 capacitaciones participaron y se certificaron un total de 784 personas de las cuales 300 fueron del sexo femenino, 483 masculino y 1 intersexuales. Así mismo, 34 se identificaron como personas con discapacidad. </t>
  </si>
  <si>
    <t xml:space="preserve">Durante el cuarto trimestre de 2023, se llevaron a cabo 22 capacitaciones con el objetivo de apoyar y articular esfuerzos con profesionales tanto del IDRD como de entidades externas. Estas capacitaciones tuvieron como propósito proporcionar herramientas conceptuales para la gestión de proyectos de inversión, en el contexto de procesos de articulación. La meta principal era ampliar la base deportiva con enfoque en el relevo generacional para el deporte de alto rendimiento en la ciudad. De esta manera, se buscaba contribuir al aumento de los conocimientos y habilidades de los colaboradores, fomentando conductas positivas que se reflejaran en la calidad de los procesos administrativos, pedagógicos y deportivos a realizar.
Estas capacitaciones tienen como objetivo ofrecer espacios de educación no formal para la socialización de herramientas y contenidos de actualización. Todo ello orientado al impulso del desarrollo de los proyectos de inversión de la Subdirección Técnica de Recreación y Deporte.
</t>
  </si>
  <si>
    <t>Poblacional – Diferencial: Las capacitaciones llevadas a cabo por el IDRD de manera presencial están dirigidas a diversos actores vinculados con distintas disciplinas deportivas. Estas capacitaciones buscan consolidar conocimientos sobre los lineamientos y directrices en materia de deporte, recreación y actividad física. Esto se realiza con el propósito de fortalecer y vincular a nuevos organismos deportivos al proceso de reconocimiento para los clubes y avales para las escuelas de formación. Además, se suministraron elementos y herramientas administrativas mediante el análisis P.E.S.T.E.L. (Aspectos Políticos, Económicos, Sociales, Tecnológicos, Ecológicos y Legales) y CONVENIOS (para mostrar que no están solos) a los líderes y lideresas de los organismos deportivos. Todo esto contribuye al fortalecimiento de los procesos de gestión y desarrollo en este ámbito.
Se contó con la participación de escuelas, clubes, ligas y comunidad en general. 
Género: en las capacitaciones participaron y se certificaron un total de 96 personas de las cuales 42 fueron del sexo femenino, 54 masculino. Así mismo, 3 se identificaron como personas con discapacidad.</t>
  </si>
  <si>
    <t>Durante el primer semestre de 2024, se llevaron a cabo siete (7) articulaciones y capacitaciones con el objetivo de apoyar y articular esfuerzos con profesionales tanto del IDRD como de entidades externas. Estas capacitaciones tuvieron como propósito proporcionar herramientas conceptuales para la gestión de proyectos de inversión, en el contexto de procesos de articulación. La meta principal era ampliar la base deportiva con enfoque en el relevo generacional para el deporte de alto rendimiento en la ciudad. De esta manera, se buscaba contribuir al aumento de los conocimientos y habilidades de los colaboradores, y deportistas fomentando conductas positivas que se reflejaran en la calidad de los procesos administrativos, pedagógicos y deportivos a realizar.
1.	ENCUENTRO INSERCIÓN AL MERCADO LABORAL y VIDA POST RENDIMIENTO DEPORTIVO.
2.	PRIMER ENCUENTRO SIAB KNOW HOW ATENCION PSICOSOCIAL A ATLETAS DEL EQUIPO BOGOTA.
3.	FORTALECIMIENTO EQUIPO PROYECTO 7850 “ESTRATEGIA DEPORTIVA Y COMPETITIVA PARA BOGOTA”.
4.	I CURSO FUNDAMENTOS DE ADMINISTRACION DEPORTIVA. 
5.	ENCUENTRO ESTRATÉGICO SECTOR PARALÍMPICO 2024.
6.	REUNIÓN DE CAPACITACIÓN PARTICULARIDADES ESCENCIALES OPERATIVO DE CICLOVÍA.
7.	HABLEMOS DE COMO PREVENIR VIOLENCIAS Y SALUD MENTAL.</t>
  </si>
  <si>
    <t>Enfoque Poblacional – Diferencial: Las capacitaciones ofrecidas por el IDRD, tanto presenciales como virtuales, están dirigidas a una amplia gama de actores involucrados en diversas disciplinas deportivas. Estas capacitaciones tienen como propósito consolidar conocimientos sobre los lineamientos y directrices en materia de deporte, recreación y actividad física, con el objetivo de fortalecer y vincular a nuevos organismos deportivos en el proceso de reconocimiento para clubes y avales para escuelas de formación.
La participación en estas actividades incluyó a escuelas, clubes, ligas y la comunidad en general interesada en temas deportivos. Este enfoque integral garantiza que todos los actores relevantes estén alineados y comprometidos con el desarrollo de un deporte seguro y accesible para todos. En cuanto a la caracterización poblacional, se registraron 20 adolescentes, 431 jóvenes, 389 adultos y 28 personas mayores de 60 años. Además, 66 personas se identificaron con discapacidad, 12 como afrodescendientes, 2 como indígenas y 28 como pertenecientes a los sectores sociales LGBTI.
Enfoque de Género: En las capacitaciones organizadas por el IDRD, de los 868 participantes, 373 fueron mujeres y 495 hombres, representando un 43% de participación femenina en temas deportivos. Esto refleja el compromiso de promover la equidad de género en el ámbito deportivo. Estos esfuerzos buscan no solo incrementar la participación femenina, sino también fomentar un ambiente inclusivo y accesible para todos los grupos, incluyendo a personas con discapacidad.</t>
  </si>
  <si>
    <t xml:space="preserve">Durante el segundo semestre se llevaron a cabo 26 articulaciones con universidades e instituciones, donde se realizaron diversas jornadas formativas y foros dirigidos a mejorar el desarrollo del deporte y la inclusión en diversas áreas. Estas actividades incluyeron capacitaciones sobre administración deportiva, marketing deportivo y gobernanza, que estuvieron dirigidas a líderes y deportistas de diferentes niveles, tanto de manera presencial como virtual. Además, se realizaron foros sobre temas clave como la igualdad de género en el deporte, la participación de mujeres y personas con discapacidad, y la importancia de la formación integral en niños y jóvenes, con el fin de fomentar la inclusión y el acceso equitativo a las oportunidades deportivas.
Estas jornadas fueron organizadas en colaboración con diversas instituciones, como el Ministerio del Deporte, la Cámara de Comercio y la Universidad Distrital, y expertos en el tema internacionales como de México, Argentina, Uruguay y Colombia, contaron con la participación de un público diverso, que incluyó a deportistas, dirigentes, entrenadores, y profesionales de diferentes sectores del deporte. Las acciones no solo buscaban fortalecer conocimientos en gestión y desarrollo deportivo, sino también promover la equidad y la inclusión, creando espacios para el intercambio de experiencias y la gestión de conocimiento en áreas claves como la economía social, la participación de mujeres en el deporte, y el acceso a actividades recreativas y deportivas para personas con discapacidad.  Además, se tuvo la oportunidad de participar en el Congreso Internacional de Actividad física ISPAH (International Society for Physical Activity and Health Congress in Paris, France en el que se Identificaron tendencias internacionales en promoción de la actividad física y su relación con los programas locales de recreación. Además, se llevaron a cabo colaboraciones con el SENA, Secretaría Distrital de Salud, SCRD, Universidad el Rosario, La Universidad Juan N. Corpas, UNESCO, y la participación en eventos para aumentar la visibilidad de los programas del IDRD, como el proyecto “CityMove” y el Congreso REDCOLAF, que buscaban impulsar el desarrollo de la recreación y la actividad física en Bogotá.
Durante la vigencia de 2024, se llevaron a cabo un total de 33 articulaciones con el sector académico, lo que facilitó el intercambio de conocimientos y el desarrollo conjunto de procesos de formación y gestión del conocimiento en áreas clave como la Actividad Física, la Recreación y el Deporte.
Nota: Es relevante destacar que el producto muestra una sobreejecución en 2024 debido a un rezago en el cumplimiento de la meta general. Para corregir esta situación, se programaron más articulaciones durante 2024 con el fin de cumplir con las metas establecidas.
</t>
  </si>
  <si>
    <t>Enfoque poblacional diferencial: A través de actividades diseñadas específicamente para atender las necesidades de diversos grupos, promoviendo la inclusión y la equidad en el ámbito deportivo. Se organizaron jornadas y foros dirigidos a mujeres, personas con discapacidad, líderes deportivos y comunidades, garantizando su participación activa en la toma de decisiones y el acceso a capacitaciones. Se abordaron temas sobre la inclusión de personas con discapacidad en la recreación y el deporte, destacando sus capacidades y generando oportunidades para su integración en las actividades deportivas. Estas acciones reflejan un compromiso por adaptar la oferta formativa y las oportunidades deportivas a las particularidades de cada grupo, asegurando su participación plena y equitativa en el desarrollo del deporte.
Enfoque de Género: se implementó mediante la organización de eventos y actividades centradas en promover la equidad de género en el deporte. Se realizaron foros como "Mujeres en el Deporte" y mesas de trabajo sobre economía social y deporte, en los que se discutieron estrategias para incrementar la participación de mujeres en todas las disciplinas deportivas y fomentar su inclusión equitativa en espacios de toma de decisiones. Además, se promovieron capacitaciones y espacios de formación donde se abordaron temas de igualdad y se sensibilizó sobre la importancia de eliminar las barreras de acceso para las mujeres, especialmente en contextos deportivos, como en las ligas y los clubes. Estas acciones reflejaron un compromiso por crear un entorno más inclusivo y equitativo, garantizando que las mujeres tengan las mismas oportunidades de participación y desarrollo en el ámbito deportivo.</t>
  </si>
  <si>
    <t>Se destacan experiencias significativas de reintegración educativa y social, evidenciando la efectividad del deporte como medio de inclusión y desarrollo personal. En cuanto a la participación, se registraron 859 hombres y 372 mujeres. Aunque persiste la predominancia masculina en disciplinas como fútbol y boxeo, se observa un incremento sostenido en la participación femenina en deportes mixtos y de contacto, reflejando avances hacia la equidad de género y la democratización del acceso deportivo.</t>
  </si>
  <si>
    <t>La investigación que se realizará en el año 2023 se desprende de lo que ha sido el proceso de formación.  Pues bien, en estos primeros meses del año se ha venido avanzando en la estructuración de dos elementos fundamentales para este estudio. Por un lado, concertado con la gerencia, identificar desde una metodología puramente cualitativa, a la historia de vida y el estudio de caso como campos de acción.  Si bien este es el acercamiento al fenómeno, de lo que consideramos es el problema de investigación tenemos la siguiente pregunta. 
¿Cuáles han sido las transformaciones más relevantes en niños y niñas que participan del proyecto JORNADA ESCOLAR COMPLEMENTARIA, desde el punto de vista psicosocial?
Así mismo, se diseñó y llevó a cabo el capítulo No. 1 del Módulo 5 de formación y se diseñó el capítulo No 2</t>
  </si>
  <si>
    <t>Este proceso busca incidir en niños y niñas y en su actitud frente a sí mismo y frente a los demás.  Buscando la forma de reconocer los resultados de este proceso, hacer una apuesta investigativa que pesquise los cambios que han experimentado niños y niñas en este proceso a partir de la identificación de aquellas personas que puedan narrar su transcurso vital en el proyecto.  Por ello vamos a identificar un grupo de niños y niñas para hacer historias de vida, las cuales complementaremos con las narraciones de sus familias y sus formadores y formadoras.</t>
  </si>
  <si>
    <t>Durante el último trimestre se ha avanzado en la realización de un video que recoge los elementos más importantes de las entrevistas.  A la fecha, hemos avanzado en su edición, identificando los elementos que consideramos más relevantes de los archivos grabados. Luego de revisar el borrador, de discutir con el equipo sobre su abordaje, su contenido, su dimensión y su forma, y de hablar con el diseñador para el ajuste, éste se encuentra en el último ajuste para su entrega. Se trata de un video de más o menos 7 minutos y 25 segundos de duración con un diseño que gira alrededor de una historieta para niños y niñas y en donde se busca recoger los relatos que den cuenta de su transformación a lo largo del proyecto en sus últimos años.</t>
  </si>
  <si>
    <t>Este proceso de investigación busca incidir en niños y niñas y en su actitud frente a sí mismo y frente a los demás.  Buscando la forma de reconocer los resultados de este proceso, hacer una apuesta investigativa que pesquise los cambios que han experimentado niños y niñas en este proceso a partir de la identificación de aquellas personas que puedan narrar su transcurso vital en el proyecto.  Por ello vamos a identificar un grupo de niños y niñas para hacer historias de vida, las cuales complementaremos con las narraciones de sus familias y sus formadores y formadoras.</t>
  </si>
  <si>
    <t>Durante el año 2023, se avanzó significativamente en la estructuración de la investigación, amalgamando los progresos del año anterior con las directrices fundamentales de la misión del proyecto de jornada escolar complementaria. Dicha iniciativa tuvo como propósito primordial documentar los cambios experimentados por los Niños, Niñas y Adolescentes (NNA) participantes en el proyecto. En virtud de esta meta, se formuló la siguiente interrogante de investigación: ¿Cuáles han sido las transformaciones más notables, desde una perspectiva psicosocial, en los niños y niñas que forman parte del proyecto JORNADA ESCOLAR COMPLEMENTARIA?
En el mes de diciembre, se concluyó exitosamente la investigación, y se entregó el documento final titulado "TRANSFORMACIONES PSICOSOCIALES DERIVADAS DE LA PRÁCTICA DEPORTIVA DE NIÑOS Y NIÑAS". Este compendio presenta los relatos de los participantes en el proyecto de Jornada Escolar Complementaria en torno a su práctica deportiva y las experiencias psicosociales vividas durante el periodo comprendido entre 2020 y 2023.</t>
  </si>
  <si>
    <t>La investigación llevada a cabo en el año 2023 surge como un desprendimiento natural del proceso de formación de niños, niñas y adolescentes, delineando transformaciones significativas en la subjetividad y vida colectiva de los participantes del proyecto. En colaboración con los formadores y formadoras, se seleccionó un grupo específico de niños y niñas para la realización de entrevistas en el trabajo de campo. Estas entrevistas, destinadas a recabar información para la construcción de historias de vida, se complementaron con las narraciones provenientes de las familias y los propios formadores.
La metodología adoptada, centrada en las historias de vida, se fundamenta en la premisa de que cada individuo atesora una narrativa única y relevante que merece ser compartida y analizada. Esta metodología se orienta hacia la experiencia personal y subjetiva de cada individuo, poniendo énfasis en la perspectiva del participante como medio para comprender la complejidad y riqueza de su vida.
La fase de levantamiento de información implicó la identificación, en colaboración con los formadores, de los niños y niñas que conformarían el universo poblacional. Este universo, categorizado en función de la edad, género, centro de interés y el eje modular del proceso de formación, busca representar de manera integral la diversidad del grupo.
La etapa subsiguiente, centrada en el análisis de la información, se estructuró según categorías inductivas previamente identificadas por el grupo de investigación. Estas categorías, integradas en la arquitectura global del proceso de acompañamiento y formación, permitieron evidenciar en la presente investigación tanto el impacto como las transformaciones experimentadas por los Niños, Niñas y Adolescentes (NNA) a lo largo del tiempo.
Posteriormente, el equipo de investigación procedió a organizar los primeros textos para la discusión y, posteriormente, reorganizó la información conforme a las categorías finales. Este enfoque facilitó la identificación de aspectos emergentes y, sobre todo, de las ideas más relevantes para situar los resultados, conclusiones y recomendaciones.
Finalmente, la investigación se materializó en un video que no solo compartió los elementos más destacados, sino que también comunicó claramente el espíritu del proyecto, en especial su objetivo de fomentar el protagonismo de los Niños, Niñas y Adolescentes (NNA).</t>
  </si>
  <si>
    <t>En el segundo semestre de 2022 se acumuló un total de 45 actividades en la Biblioteca del Deporte enfocadas a promocionar la actividad física y los hábitos saludables. Los meses con mayor oferta de estas actividades fueron septiembre y noviembre, cada uno con un total de 10, mientras que los que presentaron menor oferta fueron julio y diciembre (4) debido al proceso de aprobación del plan de acción y al cierre de año respectivamente. Participaron 743 personas. Las actividades se enfocaron en movimientos corporales, caminatas, fútbol, baile, artes marciales y movimientos de combate, hábitos y estilos de vida saludable, juegos, natación, yoga, tenis, aeróbicos, todo ello mediante los programas "clubes de lectura e interpretación de no ficción", "hora del cuento" y "laboratorios presenciales de creación artística"</t>
  </si>
  <si>
    <t xml:space="preserve">Del total de personas que participaron, desde la perspectiva poblacional, el 0,67% fueron adultos, el 0,54% fueron de primera infancia, el 5,79% fueron niños y niñas entre 6 y 13 años, 1,62% fueron personas mayores y el 2,29% fueron jóvenes. Desde la perspectiva diferencial, el 43,74% fueron personas con discapacidad, el 4,04% fueron personas indígenas, el 90,71% fueron familias; así la oferta se adaptó a las necesidades y expectativas de cada uno de estos grupos poblacionales. </t>
  </si>
  <si>
    <t>En la fase implementación de actividades del “Plan Estratégico y Operativo para el Abordaje Integral de la Población Expuesta y/o Afectada por Condiciones Crónicas en Bogotá” en el marco del nodo 2: Actividad física, espacio público y movilidad: Se realizo articulación con la las referente de actividad física desde la subdirección de provisión de servicios de salud, en la cual se definieron acciones conjuntas para el desarrollo de la jornada de actividad física a celebrarse en el mes de abril.
Durante el periodo de enero a marzo de 2023 se continúa con el desarrollo de acciones en el marco de acuerdo “Ciudades Cambiando la Diabetes en la Plaza de Mercado del Restrepo en la cual se han realizado durante el periodo 3 acciones en la promoción de alimentación saludable y actividad física articuladas con la EAPB Sanitas.
Se han realizado 3 articulación con el IDRD para fortalecer los procesos de articulación frente a la promoción de la actividad física para fortalecer acciones enfocadas en la planeación de la jornada de actividad física a realizarse en el mes de abril; así mismo se desarrollaron acciones conjuntas de articulación con la subdirección de provisión de servicios para la planeación de la jornada.
continuo el trabajo articulado con el IDRD, en la cual se articularon acciones enfocadas en la planeación de la jornada de actividad física, así mismo se desarrollaron acciones conjuntas de articulación con la subdirección de provisión de servicios para la planeación de la jornada.
· Se realizó articulación con el IDRD con el objetivo de articular acciones en el marco de la celebración del día mundial de la actividad física a celebrarse en el mes de abril.</t>
  </si>
  <si>
    <t>Las acciones reportadas durante el periodo se llevan a cabo con enfoque de género -poblacional:  con el fin de fortalecer las estrategias de identificacion de riesgos para las condiciones crónicas:  fortalecimiento técnico por medio de asistencia técnica y acompañamiento a los equipos territoriales de los entornos cuidadores que ejecutan el Plan de Salud Pública de Intervenciones Colectivas–PSPIC, con énfasis en acciones promocionales en hábitos de vida saludable entre ellas la promoción de actividad fisica.</t>
  </si>
  <si>
    <t>El cumplimiento de la meta anual establecido fue ejecutado y reportado en el II trimestre de 2023.</t>
  </si>
  <si>
    <t>El cumplimiento de la meta anual establecido fue ejecutado y reportado en el II trimestre de 2023, dado que la Jornada de Intensificación de la Actividad Física desarrolladas se realizaron en el mes de abril 2023.</t>
  </si>
  <si>
    <t xml:space="preserve">Teniendo en cuenta la implementación de actividades del “Plan estratégico y operativo para el abordaje Integral de la población Expuesta y/o afectada por condiciones Crónicas en Bogotá” en el marco del nodo 2- Actividad física, espacio público y movilidad: 
En el II trimestre de 2024 durante los dias 10 al 19 de abril,  se llevó a cabo  la "Jornada de Intensificación de la Actividad Física"en el mes de abril de 2024,  con la participación de los 5 entornos cuidadores de la Secretaría Distrital de Salud  (comunitario, hogar, educativo, institucional y laboral),  cumpliendo así con la meta planteada por el sector salud para la vigencia 2024.
En el marco de dicha jornada, se desarrollaron actividades para la conmemoración de la semana de la actividad física “Vive activamente; cada paso cuenta” del 10 al 19 de abril, a través de la sensibilización para la promoción y prevención de enfermedades crónicas y el mejoramiento de las condiciones de la salud de la población, realizadas por los 5 entornos cuidadores;  dirigidas a 19.556  personas (8.549  hombres y 11.007 mujeres)  para la promoción de la actividad física y disminución del sedentarismo; a partir de la implementación realizada por las Subredes Integradas de Servicios de Salud, que ejecutan las actividades del Plan de Salud Publica mediante equipos operativos integrales a traves de intervenciones colectivas para incidir en la salud de la población en la prevención y disminución de condiciones crónicas no transmisibles. 
A continuación se relaciona la cobertura poblacional realizada por cada una de las Subredes Integradas de Servicios de Salud a traves de las actividades realizadas en los entornos cuidadores comunitario, hogar, educativo, institucional y laboral. 
Subred Centro Oriente: 1704 Hombres y 2558  Mujeres
Subred Norte: 1962 Hombres y 2457 Mujeres
Subred Sur: 3305 Hombres y 3243 Mujeres
Subred Suroccidente: 1578 Hombres y 2749 Mujeres
*Se realizó asistencia técnica a los equipos territoriales de los entornos cuidadores que abordan las condiciones crónicas no transmisibles, para el fortalecimiento de los temas con énfasis en actividad física. 
*Se articularon acciones en el marco de la conmemoración del Día mundial de la actividad física desde la mesa del Nodo de Actividad Física, Espacio Público y Movilidad con la participación de la Dirección de Provisión de servicios, Dirección de talento humano y DAEPDSS en el marco del plan estratégico y operativo para el abordaje integral de las CCNT; el 19 de abril de 2024 se realizó jornada en la plazoleta central de SDS donde se llevaron a cabo actividades como valoración del riesgo cardiovascular, recomendaciones de manera lúdica y participativa , pausas activas, retos, promoción del uso de medios de transporte alternativo con el fin de resaltar la importancia y los beneficios de la actividad física a nivel individual y colectivo con el fin de incidir en el acceso a las diferentes alternativas para la práctica de la actividad física y reducción del sedentarismo y la adopción de hábitos saludables y sostenibles para el talento humano y población en general. Se realiza presentación de las iniciativas implementadas desde la Subred para la promoción de la actividad física y el cuidado de la salud con la participación de entidades distritales como secretaria Distrital de Movilidad, así como el talento humano de las Subredes Integradas de Servicios de Salud, EAPBS y ciudadanía en general. </t>
  </si>
  <si>
    <t xml:space="preserve">Las acciones reportadas durante el segundo trimestre de 2024 se llevan a cabo basadas en los enfoques poblacional y de género a través de la implementación de acciones dirigidas a toda la población que permitan la identificación de riesgos para las condiciones crónicas a nivel colectivo teniendo en cuenta los índices identificados en la práctica de actividad física en los diferentes cursos de vida y en su contexto socio-familiar por parte de los equipos territoriales de los entornos cuidadores y procesos transversales que ejecutan el Plan de Salud Pública de Intervenciones Colectivas–PSPIC, con énfasis en la  promoción de actividad física y hábitos de vida saludable. </t>
  </si>
  <si>
    <t>El cumplimiento de la meta anual del  producto Jornada de Intensificación de la Actividad Física se alcanzó y fue reportado en el primer semestre de 2024, dado que la misma   se llevó a cabo  del 10 al 19 de Abril en el marco de la conmemoración del Día Internacional del Deporte para el Desarrollo y la Paz Mundial (Día de la Actividad Física) cuyo tema central fue ¡Divertirse! ¡Sé activo!”. El ejercicio afecta muchas condiciones de salud y es divertido.
Logros: A partir de la Jornada de Intensificación de la Actividad Física se generaron insumos que permitieron la actualización de lineamientos técnicos sobre la promoción de la actividad física, dirigidos a los diferentes actores del sector salud en el Distrito. Dichos lineamientos orientaron durante el segundo, tercer y cuatro trimestres del 2024 la implementación de actividades del Plan de Salud Pública de Intervenciones Colectivas- PSPIC en los diferentes entornos (entorno cuidador comunitario, hogar, institucional y educativo) en el marco del Plan Territorial de Salud y el Plan Distrital de Desarrollo “Bogotá Camina Segura” 2024-2027. 
A través del trabajo de implementación que realizaron las Cuatro Subredes Integradas de Servicios de Salud de los lineamientos técnicos del Plan de Salud Pública de Intervenciones Colectivas- PSPIC en los diferentes entornos (entorno cuidador Hogar, Educativo, Laboral, Institucional y Comunitario), se fortalecio el primer contacto entre el sistema de salud, las personas, las familias y las comunidades; además de brindar información y educación en salud sobre los beneficios de la actividad física y los impactos  negativos de la inactividad física sobre la salud de las personas y los colectivos poblacionales. 
Finalmente, el seguimiento a los resultados de implementación de los lineamientos técnicos actualizados a partir de los insumos técnicos generados durante la  Jornada de Intensificación de la Actividad Física 2024  son aporte clave  para el diseño de la Jornada del año 2025 a realizarse durante la segunda semana de abril.</t>
  </si>
  <si>
    <t xml:space="preserve">Las acciones reportadas durante el segundo semestre  de 2024 se llevaron a cabo  basadas en los enfoques poblacional y de género a través de la implementación de acciones dirigidas a toda la población que permitan la identificación de riesgos para las condiciones crónicas a nivel colectivo teniendo en cuenta los índices identificados en la práctica de actividad física en los diferentes cursos de vida y en su contexto socio-familiar por parte de los equipos territoriales de los entornos cuidadores y procesos transversales que ejecutan el Plan de Salud Pública de Intervenciones Colectivas–PSPIC, con énfasis en la  promoción de actividad física y hábitos de vida saludable. </t>
  </si>
  <si>
    <t>Para el próximo trimestre, se fortalecerán los mecanismos de identificación, seguimiento y promoción que garanticen la participación equitativa de todos los grupos poblacionales, consolidando una política deportiva institucional más incluyente.</t>
  </si>
  <si>
    <t xml:space="preserve">Durante el cuarto trimestre se realizaron 8 emisiones de eventos deportivos en Canal Capital, correspondientes a 5 eventos diferentes. Se detallan a continuación:
1. TC 2000 domingo, 23 octubre 2022 Autódromo de Tocancipá
2. CNA sábado, 29 octubre 2022 Autódromo de Tocancipá
3. Copa Avanza miércoles, 16 noviembre 2022 Estadio Olaya
4. Tc 2000 domingo, 20 noviembre 2022 Autódromo de Tocancipá
5. Copa Avanza domingo, 20 noviembre 2022 Estadio Olaya
6. Torneo de fútbol Olaya miércoles, 21 diciembre 2022 Estadio Olaya
7. Torneo Hexagonal del suroriente domingo, 25 diciembre 2022 San Cristóbal Sur
8. Torneo de fútbol Olaya miércoles, 28 diciembre 2022 Estadio Olaya. </t>
  </si>
  <si>
    <t xml:space="preserve">Los contenidos deportivos de Canal Capital son de libre acceso para toda la ciudadanía a través de las diferentes plataformas disponibles. Dada la naturaleza de los contenidos audiovisuales transmitidos en pantalla, no se implementa un enfoque diferencial específico para alguna población en particular. </t>
  </si>
  <si>
    <t>A la fecha se han realizado 8 actividades en la biblioteca pública del Deporte en el marco de esta política pública con una asistencia de 130 personas, de las cuales el 8/% fueron niños y niñas entre 6 y 12 años, el 10% fueron personas mayores de 60, el 13% fueron mujeres y el 12% hombres. Estas actividades fueron desarrolladas en el marco de los programas "Club de no ficción" y "hora del cuento" y a tavés de ellos se promovió la consciencia en el movimiento del cuerpo y la actividad física mediante diferentes estrategias como juegos tradicionales y yoga.</t>
  </si>
  <si>
    <t xml:space="preserve">Las actividades fueron ajustadas de acuerdo con el grupo poblacional participante, el curso de vida en el que se encuentra y las necesidades especiales que pudieran tener. </t>
  </si>
  <si>
    <t xml:space="preserve">En el primer semestre del 2024 se realizaron 25 actividades en el marco de la Política Pública DRAFE. En las actividades participaron 323 personas, donde se logro identificar  244 mujeres y 18 hombres,  el resto de personas no identificaron su sexo. Durante el semestre se desarrollaron en la Biblioteca del Deporte, actividades como yoga,  reflexión sobre una alimentación sana,  movimiento físico acompañado por música, baile, rumba aeróbica, fortalecimeinto de la motricidad, estiramiento y calentamiento, trote suave, de circuitos de movimiento, ejercicios de desplazamiento continuo, meditación y en algunas ocasiones acompañadas con actividades de lectura.
</t>
  </si>
  <si>
    <t xml:space="preserve">Las actividades desarrolladas se plantearon desde el enfoque poblacional-diferencial, esto teniendo en cuenta que se dio la participación de personas con discapacidad, personas mayores, en donde se promovio el desarrollo de la motricidad gruesa y fina, la concentración y el disfrute de la lectura en asociación con la actividad física. Esta apuesta, que ya hace parte de la oferta de la Biblioteca Pública del Deporte y la Actividad Física, contribuye al desarrollo de las personas que participan en ella, pues no solamente impacta la salud física sino también la salud mental. </t>
  </si>
  <si>
    <t>Las actividades realizadas durante el primer semestre de 2024, dieron cumplimiento a la meta programada del producto con una sobreejecución, debido a que  se llevaron a cabo más acciones en torno a la actividad física y el deporte, como por ejemplo el lanzamiento de la exposición  con la Biblioteca Digital de Bogotá denominada "Tiempo fuera: literatura y deporte en Bogotá" donde se promovio como estrategia, articular con actividades en diferentes espacios de la Red y la ciudadanía, generando el aumento de las accciones ofertadas por la Biblioteca del Deporte. 
Se realizaron 25 actividades en el marco de la Política Pública DRAFE durante la vigencia 2024 en la Biblioteca del Deporte, como exposiciones,  yoga,  reflexión sobre una alimentación sana,  movimiento físico acompañado por música, baile, rumba aeróbica, entre otros acompañadas con actividades de lectura.</t>
  </si>
  <si>
    <t>No aplica, ya que se cumplio la meta en el primer semestre.</t>
  </si>
  <si>
    <t xml:space="preserve">Durante el primer trimestre de 2023, Capital realizó un total de 10 transmisiones ligadas eventos deportivos de carácter local y distrital. Los siguientes eventos contaron con transmisiones: Torneo de Fútbol del Olaya (2), Torneo Hexagonal del Suroriente (4), Campeonato de Fútbol dle barrio Tabora (1), Torneo Nacional de Clubes de Disco Volador (1), Torneo Universitario de Baloncesto (1), TC2000 (1). </t>
  </si>
  <si>
    <t xml:space="preserve">Los contenidos deportivos de Canal Capital son de libre acceso para toda la ciudadanía a través de las diferentes plataformas disponibles y cuentan con las herramientas de accesivilidad. Dada la naturaleza de los contenidos audiovisuales transmitidos en pantalla llegan a toda la población beneficiandoa todos los grupos pobalcionales . </t>
  </si>
  <si>
    <t xml:space="preserve">Durante el segundo trimestre de 2023 se llevaron a cabo un total de 24 transmisiones deportivas distribuídas por evento de la siguiente manera:
"CNA Las tres rapidas" (1), Evento Fedemotos (1), Torneo de Fútbol Copa Metropolitana de Marcas (1), Juegos Parapanamericanos 2023 (12), Torneo de Fútbol Conmebol Sub17 (8) y Torneo de Ultimate (1). </t>
  </si>
  <si>
    <t xml:space="preserve">Para el periodo en cuestión, se destaca principalmente la aplicación del enfoque diferencial-poblacional al contar con una completa transmisión de los Juegos Parapanemericanos Bogotá 2023, donde se visibilizan las habilidades y capacidades de la población en condición de algún tipo de discapacidad. 
Para los demás contenidos, es importante aclalar que los eventos deportivos transmitidos por las pantallas de Canal Capital son de libre acceso para toda la ciudadanía a través de las diferentes plataformas disponibles y cuentan con las herramientas de accesibilidad. Dada la naturaleza de los contenidos audiovisuales transmitidos en pantalla, estos llegan a toda la población beneficiando a todos los grupos pobalcionales. </t>
  </si>
  <si>
    <t xml:space="preserve">Durante el IV trimestre de 2023, se contó con un total de 12 transmisiones deportivas relacionadas con los siguientes eventos: COPA NOTTINGHAM TORNEO OCTAGONAL FEMENINO (5 trasmisiones), Torneo de Fútbol del Olaya (2 trasmisiones), Hexagonal de Occidente (2 trasmisiones), VálidaTC2000 (1 trasmisión), Torneo Nacional de Clubes de Disco Volador (1 trasmisión) y De la cancha al estadio Final IDRD (1 trasmisión). </t>
  </si>
  <si>
    <t xml:space="preserve">Para el periodo en cuestión, se destaca principalmente la aplicación del enfoque de género teniendo en cuenta la trasmisión completa de la "Copa Nottingham", siendo este un torneo netamente femenino. 
Para los demás contenidos, es importante aclalar que los eventos deportivos transmitidos por las pantallas de Canal Capital son de libre acceso para toda la ciudadanía a través de las diferentes plataformas disponibles y cuentan con las herramientas de accesibilidad. Dada la naturaleza de los contenidos audiovisuales transmitidos en pantalla, estos llegan a toda la población beneficiando a todos los grupos pobalcionales. </t>
  </si>
  <si>
    <t>Durante el primer semestre se reporta la transmisión de diversos eventos deportivos dentro de los cuales se resaltan:  torneos de futbol (Copa Amistad del sur, Nottingham, Copa Capital y Copa de marcas). Así como la transmisión de la Copa Interligas de Esgrima, el campeonato de Karate DO, el juego de las estrellas de Baloncesto, TC 2000, Torneo Nacional Interligas de Ultimate y  Motos GP.</t>
  </si>
  <si>
    <t xml:space="preserve">Durante el primer semestre a través de la trasmisión de diferentes eventos como la "Copa Nottingham", se da alcance al enfoque poblacional diferencial, esto teniendo en cuenta que este es un torneo netamente femenino y adicional durante el evento de la "Copa de Ultimate" también se cuenta con partcipación de deportistas femeninas en los equipos. </t>
  </si>
  <si>
    <t xml:space="preserve">Durante el segundo semestre 2024 se reporta la transmisión de diversos eventos deportivos dentro de los cuales se resaltan la copa Nottingham, la trasmision de la gran final del TC 2000 Colombia , el torneo nacional de cluber de ultimate y la valida GP Colombia. 
Con respecto  a la sobrejecución, cabe mencionar que desde la  administración Distrital se ha priorizado la transmisión de los eventos culturales y deportivos de ciudad y que esto inherente a la estrategia de programación del Canal, de ahi que se reporta todos los eventos deportivos emitidos. 
Se logró trasmitir diversos eventos y programas deportivos desde Canal Capital, los cuales se trasmitieron en horarios y espacios de fácil acceso a la ciudadanía en general incluidos cada uno de los grupos poblacionales. </t>
  </si>
  <si>
    <t xml:space="preserve">Para el segundo semestre desde Canal Capital, se estableció una agenda de trasmisiones que se definen por la misma oferta de los eventos deportivos, estos, buscan cautivar una audiencia juvenil ya que la promoción de estos espacios le permite a esta población conocer de primera mano estos eventos; asi mismo la difusión y trasmisión de eventos deportivos específicamente los que se enfocan en deportes realizados por mujeres como es la  "Copa Nottingham", (teniendo en cuenta que este es un torneo netamente femenino),  su visibilización promueve el caracter de posicionamiento de las mujeres en los ambitos deportivos.
Adicional a estos enfoques es importante señalar que desde Canal Capital las trasmisión de los espacios deportivos tiene un propósito de promoción de eventos que se trasmiten en horarios y espacios de fácil acceso a la ciudadanía en general incluidos cada uno de los grupos poblacionales. </t>
  </si>
  <si>
    <t>Los resultados obtenidos demuestran que las estrategias deportivas del IDIPRON trascienden la actividad física, constituyéndose en intervenciones pedagógicas de alto impacto que reducen conductas de riesgo, fortalecen la salud mental y emocional, y promueven la convivencia pacífica.</t>
  </si>
  <si>
    <t>Durante el primer semestre se avanzo en la planeación y consolidación de una estrategia de comunicaciones donde a través de los medios de divulgación se ha realizado la difusión de la oferta institucional en los diferentes medios para la consulta y participación activa de la ciudadanía en los parques y escenarios de la ciudad.</t>
  </si>
  <si>
    <t>Poblacional - Diferencial: Se ha realizado las publicaciones para la participación activa e incidente de todas las poblaciones (mujeres, NNA, Jovenes, Personas Mayores, Personas con Discapacidad, Comunidad LGBTIQ+ y NARP).
Territorial: Publicaciones con el fin de difundir las actividades y eventos que se hacen en los parques y escenarios de las 20 localidades de la ciudad. 
Género: Dentro de las publicaciones que se realizan se busca hacer sensibilización del protocolo de violencias de género del IDRD y promover la equidad e igualdad de género en los parques del distrito.</t>
  </si>
  <si>
    <t xml:space="preserve">Durante el segundo semestre se continuo con la implementación de la estrategia de comunicaciones planteada durante el primer semestre, para esto, los medios de divulgación que tiene el IDRD y los medios masivos de comunicación; de esta manera, se difundió la oferta institucional en actividades deportivas, recreativas, actividad física, parques y escenarios, a todos los capitalinos para que fuera consultada con el fin, primordial, de promover  la participación activa de la ciudadanía en los parques y escenarios de la ciudad.
</t>
  </si>
  <si>
    <t xml:space="preserve">Se desarrollaron ciento seis (106) estrategias comerciales para mejora de escenarios y parques, en plan de medios, beneficios para el equipo Bogotá y elementos requeridos para eventos del IDRD. 
Con las alianzas se impactaron a personas de todos los grupos etarios, étnicos, estratos socioeconómicos, público familiar, propietarios de mascotas, deportistas y practicantes de actividades físicas. Se impactaron 20 parques y 10 puntos de ciclovía con múltiples intervenciones por alianzas. 
Se fortalecieron las alianzas de eventos publicitarios y se proyectaron alianzas en temas de seguridad y con enfoque de género.
con el recaudo de $8.504 de pesos, efectuados en efectivo, especie </t>
  </si>
  <si>
    <t>Con las alianzas se impactaron a personas de todos los grupos etarios, étnicos, estratos socioeconómicos, público familiar, propietarios de mascotas, deportistas y practicantes de actividades físicas. Se impactaron 20 parques y 10 puntos de ciclovía con múltiples intervenciones por alianzas. Se fortalecieron las alianzas de eventos publicitarios y se proyectaron alianzas en temas de seguridad y con enfoque de género.</t>
  </si>
  <si>
    <t>Se adelantó la recolección de la información y el diseño de mecanismo de difusión que pretende aumentar la participación de la comunidad en programas deportivos, recreativos y de actividad física el proceso se adelanta en la localidad de Barrios Unidos y Chapinero .Aún no se ha subido la información a un servidor público, se encuentra en un avance del 50%.</t>
  </si>
  <si>
    <t>El producto permite que la oferta en los territorios, es decir en el 100 % de las 20  localidades y su compresión geográfica cuenten con el mecanismo que está en implementación, este, garantizará que la oferta de espacios y actividades recreodeportivos sea más visible y a accesible no solo a la comunidad que habita sino que trabaja o disfruta del territorio.</t>
  </si>
  <si>
    <t>Para este II trimestre se continua trabajando en el mecanismo de difusión como el servidor público, que le permita conocer a las diferentes poblaciones los espacios y  programas deportivos, recreativos y de actividad física  en los que pueda participar. Así como se consolida la información de las diferentes actividades programadas por cada localidad y a qué población esta dirigida.</t>
  </si>
  <si>
    <t>Enfoque territorial: El Producto permite que la ciudadanía conozca a traves de su localidad los diferentes espacios recreodeportivos de los que puede participar. Las 20 localidades programan diferentes actividades diseñadas para niñ@s, jóvenes, adultos y ancianos en espacios priorizados fomentando así la inegración urbana en Bogotá.</t>
  </si>
  <si>
    <t>Se encuentra publicada la página web de la Secretaría Distrital de Gobierno la página con la oferta institucional deportiva de las alcaldías locales, con la oferta vigente hasta finalizar el 2023. https://www.gobiernobogota.gov.co/oferta-deportiva-alcaldias-locales</t>
  </si>
  <si>
    <t>Territorial, pues se incluyen a todas las localidades de Bogotá y la oferta deportiva que hay, teniendo en cuenta las necesidades y solicitudes de la comunidad al planear la oferta disponible.</t>
  </si>
  <si>
    <t xml:space="preserve">Durante el 4to trimestre las localidades siguieron empleando el Mecanismo de difusión de la Oferta Deportiva centralizado, el cual fue establecido como una página web (micrositio) dentro del portal web de la Secretaría Distrital de Gobierno, y allí se encuentra alojada hoy en día toda la oferta generada desde las alcaldías locales en materia de Deportes, Recreación y Actividad Fisica para la ciudadanía en general. 
Las únicas localidades que no agregaron su oferta deportiva al mecanismo de difusión fueron  Tunjuelito y Antonio Nariño.
NOTA: Teniendo presente el cambio de imagen institucional del nuevo gobierno, el link donde se encuentra la oferta disponible hasta el 31 de diciembre cambio y ahora es el siguiente: </t>
  </si>
  <si>
    <t>Territorial, el alcance de las actividades deportivas, recreativas y de actividad física que se difunden a través del mecanismo abarca todas las localidades y UPZ de la ciudad, haciendo énfasis en escenarios y actividades que dan cobertura a las diferentes poblaciones presentes en el territorio, lo cual tiene en cuenta las necesidades y solicitudes de la comunidad al planear la oferta disponible.</t>
  </si>
  <si>
    <t xml:space="preserve">La Oficina Asesora de Comunicaciones trabajó en el diseño y puso en marcha el mecanismo para la difusión de la oferta de las localidades relacionada con programas deportivos, recreativos y de actividad física a través de un micrositio para la publicación en la página web de la Secretaría Distrital de Gobierno, para la vigencia 2024 se planteó la alternativa para la generación de un nuevo mecanismo. La creación del nuevo mecanismo de difusión se encuentra en proceso  por parte de la OAC, de manera que al contar con este se proceda a capacitar a las Alcaldías Locales para la difusión de la oferta a través del mismo. No obstante se consolidó la información de la oferta publicada por las Alcaldías Locales en su página web y/o en sus redes sociales. </t>
  </si>
  <si>
    <t>Debido a que el alcance de las actividades deportivas, recreativas y de actividad física que se difunden por las Alcaldías abarca todas las localidades y UPZ de la ciudad, en el trimestre se tuvo comunicación constante con los referentes deportivos de cada localidad para conocer las actividades y ofertas publicadas por las Alcaldías Locales.</t>
  </si>
  <si>
    <t xml:space="preserve">Creación de un mecanismo efectivo para la  de publicación de  la oferta deportiva, recreativa y de actividad física. Posteriomente se realizaron diferentes capacitaciones a los equipos de las Alcaldías Locales para el uso y publicación de la oferta en el micrositio, logrando consolidar la información publicada por las Alcaldías Locales en su página web y/o en sus redes sociales durante los meses de abril a junio de 2024. 
</t>
  </si>
  <si>
    <t>El enfoque territorial y poblacional diferencial, se desarrolla en la medida que el alcance de las actividades deportivas, recreativas y de actividad física que se difunden a través del mecanismo abarca las localidades y UPZ de la ciudad y la oferta se dirige a diferente población, esto es, niños, jóvenes, adulto mayor, personas en condición de discapacidad, mujeres, entre otros.</t>
  </si>
  <si>
    <t xml:space="preserve">Durante el segundo semestre del año 2024, desde la Dirección para la Gestión del Desarrollo Local se adelantaron diferentes acciones enfocadas en la obtención de la oferta deportiva de las 20 localidades para su publicación en el portal web de la entidad. Se desarrollaron acciones con las 20 localidades para dar explicación  a las alcaldías locales sobre su obligación en el marco del desarrollo del producto de la política pública y el paso a paso para la publicación de las ofertas deportivas con ayuda del web máster de la entidad. En este sentido se  evidencian 84 publicaciones relacionadas con el campo del deporte, recreación y actividad física.
Logro: Diseño y puesta en marcha del mecanismo para la difusión de la oferta de las 20 localidades relacionada con programas deportivos, recreativos y de actividad física a para su publicación en el portal web de la entidad. 
</t>
  </si>
  <si>
    <t xml:space="preserve">Enfoque Territorial:  La oferta deportiva y recreativa se encuentra dirigida para la población en general de las 20 localidades,  en los espacios construidos para su goce efectivo. Desde las caracteristicas particulares de la población de cada localidad, se ofrecen actividades  que fortalecen las habilidades de los residentes y permiten construir tejido social. En  Algunas publicaciones denotan el enfoque poblacional diferencial haciendo énfasis en poblaciones específicas tales como jóvenes y adultos mayores. En cuanto a derechos humanos, las ofertas deportivas no excluyen a personas de poblaciones específicas, sino por el contrario cuentan con profesionales que identifican las necesidades de las personas participantes en los espacios para el desarrollo de actividades a la medida. </t>
  </si>
  <si>
    <t>Cada jornada, entrenamiento o torneo representa una oportunidad para reafirmar el poder transformador del deporte en la construcción de ciudadanía y proyectos de vida dignos. De esta manera, el IDIPRON contribuye al cumplimiento de la Política Distrital de Deporte, Recreación y Actividad Física, reafirmando su compromiso con la formación integral, la dignidad y el bienestar de los(as) adolescentes y jóvenes de Bogotá.</t>
  </si>
  <si>
    <t xml:space="preserve">Se suscribrieron 6 alianzas público privadas para el desarrollo del Sector Deporte.
Aunado a esto, avanzaron los estudios, análisis y viabilidad del proyecto APP Complejo Cultural y Deportivo El Campin y se realizó el seguimiento a las concesiones Nuevo Parque Salitre Mágico y Renovación Arquitectónica, actualización, operación y mantenimiento del Coliseo Cubierto El Campin. </t>
  </si>
  <si>
    <t>Con el fin de preservar la sostenibilidad del IDRD,Se suscribrieron  un total en el año de 144 alianzas público privadas, para el desarrollo del Sector Deporte que permitieran desarrollar con enfoque territorial (a escala distrital), diversos proyectos de aprovechamiento económico.</t>
  </si>
  <si>
    <t>En el primer semestre se realizaron 63 alianzas suscritas por el IDRD, para el fortalecimiento del sistema de parques y escenarios deportivos de la ciudad, los enfoques poblacionales, diferenciales, ambientales y humanos deben adaptarse y alinearse con los objetivos y compromisos establecidos en dichas alianzas.</t>
  </si>
  <si>
    <t>Enfoque de Derechos Humanos: Las alianzas se centran en garantizar que todas las personas tengan acceso igualitario a los parques y escenarios deportivos, promoviendo la inclusión y la no discriminación, las cuales priorizan: el acceso universal, en donde se busca garantizar que todas las personas, independientemente de su edad, género, raza, discapacidad, o situación socioeconómica, tengan igualdad de oportunidades para disfrutar de los espacios recreativos. La participación ciudadana, la cual fomenta la participación de la comunidad en la toma de decisiones sobre la gestión y el uso de los parques, garantizando que todas las voces sean escuchadas y respetadas. La protección y seguridad, en donde se trabaja en conjunto con entidades de seguridad y derechos humanos para asegurar que los parques y escenarios sean espacios seguros y libres de cualquier forma de violencia o acoso, promoviendo la convivencia pacífica y el respeto mutuo.
Enfoque Poblacional-diferencial: Con estas acciones se busca reconocer las necesidades específicas de diferentes grupos dentro de la población, asegurando que las políticas y programas sean inclusivos y equitativos. Las alianzas se han enfocado en el diseño inclusivo de espacios, donde la accesibilidad en parques y escenarios deportivos sean viables para personas con diferentes capacidades físicas y cognitivas, garantizando que todas las personas puedan participar plenamente.
Enfoque Territorial: Se avanza en la comprensión y valoración de las particularidades de cada territorio, considerando sus características sociales, culturales, económicas y geográficas. Las alianzas consideran: Adaptación a las necesidades locales, los espacios y actividades de los parques y escenarios deportivos a las necesidades y características específicas de cada comunidad. 
Enfoque Ambiental: Se promueve la sostenibilidad y gestión ambiental, la conservación de la biodiversidad y la educación y sensibilización ambiental, para implementar prácticas sostenibles en la gestión de los parques y escenarios deportivos, como el uso eficiente del agua, la energía renovable y la gestión de residuos.</t>
  </si>
  <si>
    <t>Durante la vigencia 2024, el IDRD continuó con la firma de alianzas estratégicas, alcanzando un total de 224 nuevas alianzas como reposa en las evidencias, las cuales tienen como propósito seguir impulsando el desarrollo de los parques y escenarios deportivos de Bogotá. Estas alianzas también contribuyeron al fortalecimiento de la infraestructura y a la creación de más oportunidades de integración y recreación para la comunidad.
El Instituto Distrital de Recreación y Deporte (IDRD) ha establecido diversas alianzas estratégicas con organizaciones, empresas y actores locales con el fin de fortalecer y mejorar el sistema de parques y escenarios deportivos en nuestras localidades. Estas alianzas buscan optimizar los espacios destinados a la recreación, el deporte y la cultura, y promover la participación activa de la comunidad. A través de estas colaboraciones, el IDRD tiene como objetivo generar un impacto positivo en las condiciones de vida de los ciudadanos, ofreciendo instalaciones de mayor calidad y mejoradas para el disfrute de todos. Las alianzas no solo contribuyen al mejoramiento físico de los espacios, sino también a la organización de eventos que fomentan la integración y el bienestar de los habitantes.</t>
  </si>
  <si>
    <t>Derechos Humanos: Las alianzas estratégicas promovieron el respeto de los derechos de los usuarios, garantizando que los parques y escenarios sean espacios accesibles y libres de discriminación para todas las personas.
Poblacional Diferencial: Las alianzas priorizaron la inclusión de grupos poblacionales vulnerables, ofreciendo más oportunidades para su participación en actividades recreativas y deportivas.
Territorial: Las alianzas se enfocaron en las zonas de Bogotá donde los parques y escenarios necesitan mayores inversiones y acciones para el fortalecimiento de la infraestructura y la calidad de los servicios.
Ambiental: Se promovio prácticas sostenibles en la gestión de los parques, como el uso de tecnologías limpias y la implementación de estrategias de cuidado del medio ambiente en los espacios recreativos.</t>
  </si>
  <si>
    <t>Derechos Humanos, Poblacional diferencial Territorial, Ambiental.</t>
  </si>
  <si>
    <t>En función de establecer el protocolo que requiere el producto en cuestión, se llevaron a cabo actividades transversales entre la ciudadanía y el personal involucrado en la administración y mantenimiento de los parques y escenarios del IDRD.</t>
  </si>
  <si>
    <t>Las actividades de sensibilización y capacitación en el marco de la construcción del  protocolo para el fomento del respeto a la diversidad poblacional y la prevención de violencias basadas en género en los parques y escenarios administrados directamente por el IDRD, se han estructurado bajo en enfoque de Enfoque de derechos Humanos, diferencial  y territorial, y su desarrollo ha permitido la materialización del mismo.</t>
  </si>
  <si>
    <t>Durante este primer trimestre del año, se avanzó en la planeación de las acciones que involucran actividades recreodeportivas en los distritos creativos. El plan de acción 2023 de la Red de Distritos Creativos dejó proyectada</t>
  </si>
  <si>
    <t>El desarrollo de intervenciones recreodeportivas en los distrios creativos estan dirigidas a todos los grupos poblacionales, sociales y de género.</t>
  </si>
  <si>
    <t xml:space="preserve">Durante el primer semestre se avanzo en la planeación y mapeo  junto a la Subdirección Técnica de Recreación y Deporte del IDRD,  con el propósito de determinar la ejecución de acciones conjuntas en cuanto a la intervención de algunos de los Distritos Creativos priorizados que se encuentran activos actualmente en la ciudad. </t>
  </si>
  <si>
    <t>Enfoque Territorial, teniendo en cuenta la ubicación y delimitación de polígonos. En cada uno de los distritos creativos priorizados (Teusaquillo, San Felipe, Centro Internacional, Candelaria - Santa Fe, y La Playa) y los que se encuentran en activación (Calle 85, Chapinero, Usaquén, Zibo y CTI) se comenzó un mapeo para identificar los espacios que puedan ser utilizados para  el uso y aprovechamiento de parques y otros equipamientos deportivos  y de igual manera la identificación de beneficiarios participantes en la intervención.</t>
  </si>
  <si>
    <t>Para la vigencia 2024, el último semestre del año, en el distrito Creativo Centro Internacional, se realizó la actividad correspondiente a la dinamización de entornos recreo deportivos en el marco del festival Macarenazo. En el que participo la comunidad del sector y visitantes, desde una perspectiva comunitaria con actividades culturales, artísticas, emprendimientos y recreo deportivas. Durante el desarrollo de esta actividad, se contó con la afluencia de más de 1.000 personas de todos los grupos etarios. Se logró a través de la articulación interinstitucional la activación del distrito creativo en espacio público con intervenciones recreo deportivas.</t>
  </si>
  <si>
    <t>Enfoque Territorial, teniendo en cuenta la ubicación y delimitación de polígonos de los Distritos Creativos en lo que se realizó actividades que apuntan al cumplimiento de la Política Pública DRAFE, fue en el Distrito Creativo Centro Internacional, ubicado en la localidad  de Santa Fe.[@Column56]</t>
  </si>
  <si>
    <t>Se intervinieron cinco  (5) Parques y escenarios de administración directa del IDRD con oferta de conectividad digital para sus asistentes y el equipo técnico del IDRD. Los parques intervenidos fueron:  EL COUNTRY, INDEPENDENCIA, PARQUE SIMON BOLIVAR - PARQUE DE LOS NIÑOS, GIMNASIO DEL SUR parque ESTADIO OLAYA HERRERA</t>
  </si>
  <si>
    <t>Las intervenciones técnicas realizadas se hicieron bajo el enfoque ambiental.</t>
  </si>
  <si>
    <t>Se llevaron a cabo una serie de sensibilizaciones tanto a los asistentes de los parques y escenarios administrados por el idrd, contratistas y funcionarios de la entidad. 
Adicionalmente, se caraterizó la población de mujeres que participan en programas ofertados por el IDRD</t>
  </si>
  <si>
    <t>En atención a los compromisos diferenciales y de género del IDRD y la Subdirección Técnica de Parques, se llevaron a cabo una serie de sensibilizaciones tanto a los asistentes de los parques y escenarios administrados por el idrd, contratistas y funcionarios de la entidad. 
Adicionalmente, se caraterizó la población de mujeres que participan en programas ofertados por el IDRD</t>
  </si>
  <si>
    <t>El Instituto Distrital de Recreación y Deporte, en el primer semestre realizó una capacitación a 295 lideres recreativos y deportivos, de sensibilización del protocolo  para el fomento del respeto a la diversidad poblacional y la prevención de violencias basadas en género, con el fin de garantizar estrategias de difusión y sensibilización en los parques y escenarios administrados directamente por el IDRD.  De igual forma en temas de sensibilización y socialización se han realizado publicaciones a través de las redes sociales y la página web del instituto.</t>
  </si>
  <si>
    <t xml:space="preserve">Enfoque Poblacional-Diferencial: Las actividades se centraron en sensibilizar a los participantes sobre cómo la violencia de género afecta de manera desigual a diferentes grupos poblacionales. Se proporcionaron herramientas y estrategias específicas para abordar las necesidades particulares de diversos grupos, como las mujeres indígenas, las personas trans y los jóvenes. Este enfoque permitió adaptar las intervenciones y la implementación del Protocolo de manera que refleje las realidades y desafíos únicos de cada grupo dentro de los espacios gestionados.
Enfoque Territorial: El trabajo realizado en los parques, incluyó la consideración del contexto territorial del espacio. Se discutió cómo las características específicas del territorio, como su ubicación y el acceso a recursos, influyen en la prevención y atención de la violencia de género. La capacitación abarcó la adaptación de las estrategias de intervención a las características y necesidades del entorno local, asegurando que las medidas adoptadas sean efectivas en el contexto específico de los parques.
Enfoque Ambiental: Durante las actividades, se abordó el impacto del entorno físico en la seguridad y prevención de la violencia de género. En donde se tuvo en cuenta factores como la iluminación, el diseño y el mantenimiento de los espacios influyen en la percepción de seguridad y en la eficacia de las medidas de prevención. El enfoque Ambiental enfatizó la importancia de un entorno físico que contribuya a la creación de espacios seguros e inclusivos para todos los usuarios.
Estos enfoques se integraron en el trabajo realizado, garantizando que las estrategias de prevención, atención y detección de violencias de género fueran comprensivas y adaptadas a las necesidades y contextos específicos de los espacios y personas involucradas.
</t>
  </si>
  <si>
    <t xml:space="preserve">Durante el segundo semestre de 2024, el IDRD continuó con la implementación del Protocolo para la prevención, detección, atención y seguimiento de las violencias basadas en género en los parques y escenarios deportivos administrados por la entidad. Este protocolo busca crear un entorno seguro y respetuoso para todos los usuarios, garantizando el derecho al deporte y la recreación sin violencia, el cual fue divulgado por medio de diferentes medios como son las carteleras de los parques, sensibilización y distribución del protocolo en los parques administrados por el IDRD cumpliendo con la meta de 128 establecidos.
Desde la implementación se han realizado diversas acciones como: Promover el respeto mutuo entre los usuarios, administradores y técnicos profesionales de nuestros espacios; fomentar la convivencia pacífica, segura e inclusiva en todos los parques y escenarios del IDRD, prevenir y erradicar cualquier tipo de violencia basada en género, discriminación o acoso dentro de nuestros espacios; sensibilizar a la comunidad en general sobre la importancia de la diversidad y la igualdad de derechos; colocación de carteleras informativas en puntos estratégicos de los parques y escenarios del IDRD para difundir el protocolo y sus directrices; formación continua y capacitación para los administradores, técnicos y profesionales del IDRD en temas de igualdad de género, diversidad poblacional y convivencia respetuosa; creación de canales de comunicación para que los usuarios puedan reportar cualquier incidente de violencia o discriminación, asegurando que todos los casos sean atendidos de manera confidencial y oportuna.
En este periodo, el IDRD avanzó en el cumplimiento de la meta, enfocándose en implementar acciones que aseguran la inclusión, el respeto a la diversidad y la protección frente a cualquier tipo de violencia, especialmente la violencia de género en 128 parques administrados por el IDRD.
</t>
  </si>
  <si>
    <t>Derechos Humanos: Este protocolo garantiza el derecho al deporte y la recreación en un entorno libre de violencia, promoviendo la igualdad y el respeto a la dignidad humana. Se enfoca en proteger a todas las personas, sin distinción, frente a cualquier tipo de violencia, asegurando la inclusión y el acceso equitativo a los espacios administrados por el IDRD.
Poblacional Diferencial: Se prioriza la atención a grupos vulnerables, como mujeres, personas con discapacidad, comunidades LGBTIQ+ y otros grupos que puedan enfrentar riesgos específicos de violencia o exclusión. Las acciones buscan eliminar barreras y garantizar entornos inclusivos, respetando las particularidades de cada población.
Territorial: Las medidas contempladas en el protocolo se adaptan a las necesidades y realidades específicas de los parques y escenarios deportivos en distintas localidades de Bogotá, reconociendo las diferencias socioeconómicas, culturales y demográficas en cada territorio para una intervención más efectiva.
Ambiental: Promover la sostenibilidad a través del diseño de espacios seguros que también sean respetuosos con el medio ambiente, fomentando el uso responsable de recursos naturales y la conservación del entorno en los parques y escenarios deportivos.</t>
  </si>
  <si>
    <t>Derechos Humanos, Poblacional Diferencial Territorial, Ambiental</t>
  </si>
  <si>
    <t>Se desarrollaron tres (3) estrategias del componente ambiental: 1)  Parques con Estructuras Verdes  2)  Estrategia de Carbono Neutro Parque Simón Bolívar 3) Bogotá Reverdece y Mantenimiento de Parques Urbanos.</t>
  </si>
  <si>
    <t>Las tres (3)  estrategias del componentes ambiental se han desarrollado desde un enfoque sistémico y   ambiental, pensadas para la construcción de tejido social alrededor de espacios de convivencia, infraestructura sostenible y el conocimiento y reconocimiento de la existencia de otras formas de vida que cohabitan los territorios urbanos, así como en la implementación de estrategias para la adaptación y mitigación del cambio climático.</t>
  </si>
  <si>
    <t>Se caracterizaron los parques de escalas metropolitanos y zonales los cuales cuentan con conexiones y servicios de internet para que posteriormente se pueda priorizar parques que no cuentan con estos servicios</t>
  </si>
  <si>
    <t>Con el objetivo de disminuir la brecha de desigualdad, en materia de conectividad, en los asistentes y administradores de  los parques del Distrito la subdirección tecnica de parques se encuentra en proceso para garantizar la conectividad de los parques de escala estructurante con oficina administrativa para el uso de los contratistas y funcionarios del IDRD.</t>
  </si>
  <si>
    <t xml:space="preserve">Para la vigencia 2024, se cuenta con 95 parques y escenarios administrados por el IDRD, con conectividad digital, con el fin de garantizar que la ciudadanía pueda tener acceso a la oferta de servicios institucionales que ofrece el IDRD en estos parques y escenarios. </t>
  </si>
  <si>
    <t>Derechos Humanos: Garantizar la conectividad en los parques del Distrito con oficinas administrativas es fundamental para asegurar que todos los individuos, sin importar su rol o función, tengan acceso a la información y a recursos necesarios para realizar su trabajo de manera efectiva. Este enfoque asegura que se respeten los derechos de todos los trabajadores, brindándoles igualdad de oportunidades y condiciones laborales adecuadas para desempeñar sus funciones. 
Enfoque Poblacional-diferencial: Al mejorar la conectividad en los parques, se tiene en cuenta la diversidad de usuarios y trabajadores que interactúan en estos espacios. Esto incluye consideraciones para garantizar que las personas con discapacidades, personas mayores y otros grupos vulnerables tengan igual acceso a la tecnología y a los recursos necesarios para participar plenamente en la vida laboral y comunitaria. 
Enfoque Territorial: La mejora de la conectividad se enfoca en los parques de escala estructurante, lo que indica una consideración territorial en la distribución de recursos y servicios. Esto contribuye a reducir las disparidades territoriales, asegurando que incluso en áreas con menor desarrollo urbano, los servicios básicos estén disponibles para todos los ciudadanos y trabajadores. 
Enfoque Ambiental: La implementación de infraestructura tecnológica para mejorar la conectividad también puede tener implicaciones ambientales. Es crucial adoptar medidas que minimicen el impacto ambiental de estas mejoras, como el uso de tecnologías energéticamente eficientes y la gestión adecuada de los desechos electrónicos, asegurando así que la mejora en la conectividad no comprometa la sostenibilidad ambiental de los parques y su entorno.</t>
  </si>
  <si>
    <t>Durante el segundo semestre 2024, el IDRD mantuvo su compromiso con la implementación de la conectividad digital en 97 parques y escenarios administrados. Esta estrategia sigue siendo un pilar para asegurar que la ciudadanía tenga acceso a los servicios del IDRD, como la inscripción a actividades, el acceso a información actualizada y la participación en actividades deportivas y recreativas de forma digital. El equipo técnico del IDRD también continuó utilizando la conectividad para mejorar la gestión operativa y la eficiencia administrativa de los parques y escenarios.
La meta proyectada para la vigencia 2024 es de 10 parques con conectividad, sin embargo, debido a la ejecución de acciones adicionales y el fortalecimiento de la infraestructura tecnológica, se logró superar esta meta, alcanzando la conectividad en 97 parques, lo que representa una sobre ejecución de este indicador. Esta sobre ejecución se justifica por el avance en la mejora de los parques y la priorización de proyectos en función de la alta demanda y las necesidades detectadas, lo que resultó en una ampliación de los esfuerzos para dotar de conectividad a más parques de lo inicialmente previsto.</t>
  </si>
  <si>
    <t>Derechos Humanos: Se garantiza que el acceso a la conectividad digital sea equitativo para todos los usuarios, promoviendo que no exista exclusión por razones socioeconómicas o de ubicación.
Poblacional Diferencial: Al mejorar la conectividad en los parques, se tiene en cuenta la diversidad y que sea accesible a grupos como personas con discapacidad, adultos mayores y comunidades rurales o de bajos recursos, para que puedan beneficiarse igualmente de los servicios digitales.
Territorial: La mejora de la conectividad se enfoca en los parques de escala estructurante, lo que indica una consideración territorial en la distribución de recursos y servicios. Esto contribuye a reducir las disparidades territoriales, asegurando que incluso en áreas con menor desarrollo urbano, los servicios básicos estén disponibles para todos los ciudadanos y trabajadores y se garantizar que los parques de zonas más remotas o con menor acceso a infraestructura digital cuenten con conectividad, promoviendo la equidad en todo el territorio.
Ambiental: Se fomenta el uso responsable de los recursos tecnológicos, con el fin de promover prácticas sostenibles en la gestión de la conectividad, considerando el impacto ambiental de los dispositivos y las redes.</t>
  </si>
  <si>
    <t xml:space="preserve">Es necesario aclarar que el momento de revisión de la política y el indicador de mantenimiento se informó que el universo total de ejemplares existentes en los parques era de 69.661 (universo total) pero no todos los ejemplares requieren mantenimiento, por eso la ejecución de los mismos obedecerá a los intervenidos con actividades de mantenimiento para el segundo semestre 2022, será: 
Se sugiere el siguiente indicador: arboles programados / arboles mantenidos: 
Para el segundo semestre 2022 se programaron 26396 y se hizo mantenimiento a 26396 y así cada vigencia. 
 26396/26396= 100% 
Durante el segundo semestre de 2022 el JBB realizó mantenimiento a  26.396 ejemplares ubicados en parques, así:
ESCENARIO DEPORTIVO         36 
PARQUE DE BOLSILLO         508 
PARQUE METROPOLITANO         4,924 
PARQUE METROPOLITANO PROPUESTO         145 
PARQUE VECINAL         17,866 
PARQUE ZONAL         2,881 
PARQUE ZONAL PROPUESTO         36 
Las actividades de mantenimiento son requeridas para permitir la permanencia del elemento natural y todos sus beneficios ambientales y ecosistémicos.
</t>
  </si>
  <si>
    <t>El mantenimiento realizado al arbolado existente dentro de los parques bajo administración dl IDRD promueven la conservación de las condiciones naturales de la Ciudad de Bogotá y los atributos que debe tener el hábitat para garantizar la vida a futuro, de tal forma que el recurso permanezca; estas coberturas hacen parte de las estrategias de adaptación y mitigación al cambio climático, estrategia de Carboneutralidad. 
El JBB con respecto al mantenimiento del arbolado urbano en parques distritales aporta al objetivo de Calidad Ambiental, Conservación y adecuado manejo de la fauna y la flora - con el mantenimiento del arbolado urbano.
Se realizaron actividades de mantenimiento que son requeridas para permitir la permanencia del elemento natural y todos sus beneficios ambientales y ecosistémicos, como estrategia de mejoramiento, mantenimiento sostenible, adaptación  y mitigación del cambio climático de la infraestructura física del Sistema Distrital de Parques.</t>
  </si>
  <si>
    <t>Se realizaron actividades de mitigación de los efentos del cambio climático a partir de las siguientes estrategias:
* Reverdecimiento y el arbolado y empradización de los parques y escenarios priorizados.
* Mantenimiento integral de áreas verdes.
Manejo integral de residuos sólidos de los parques y escenarios operados.</t>
  </si>
  <si>
    <t>En función demantener a los parques administrados por el IDRD, de forma íntegra y apta para la ciudadanía, se realizaron actividades de mitigación de los efentos del cambio climático a partir de las siguientes estrategias:
* Reverdecimiento y el arbolado y empradización de los parques y escenarios priorizados.
* Mantenimiento integral de áreas verdes.
* Manejo integral de residuos sólidos de los parques y escenarios operados.</t>
  </si>
  <si>
    <t>Para el primer semestre se genero una estrategia para la recolección de los residuos sólidos en los eventos y acciones que realiza  en el marco del proyecto institucional ciclovía Bogotá, donde se definio puntos de acopio, separación y embalaje y proceso de recolección y separación de los residuos aprovechables.</t>
  </si>
  <si>
    <t xml:space="preserve">Territorial: Adaptación de prácticas de gestión de residuos a las características específicas de cada territorio, promoviendo la sostenibilidad y la resiliencia local. 
Ambiental: Se fomenta la participación de la comunidad en la gestión de residuos de los espacios, a través de programas de voluntariado, eventos de limpieza, y talleres sobre reciclaje.
Poblacional - Diferencial: se tiene en cuenta la diversidad de usuarios y trabajadores que interactúan en estos espacios. Esto incluye consideraciones para garantizar que las personas con discapacidades, personas mayores y otros grupos vulnerables, aporten a la mitigación y el cambio climatico en los diferentes acciones que se realizan desde el IDRD.
Promover la inclusión y sostenibilidad en la gestión de residuos, adaptándose a las necesidades de cada grupo. Niños y Jóvenes: Educación ambiental adaptada a su nivel.
Personas Mayores: Accesibilidad a áreas de reciclaje. Personas con Discapacidad: Inclusión mediante infraestructuras accesibles. Comunidades Indígenas y Afrodescendientes: Respeto e integración de sus conocimientos tradicionales. Personas en Situación de Calle: Programas de empleo y participación.Comunidad General: Sensibilización y participación en la gestión de residuos.
</t>
  </si>
  <si>
    <t xml:space="preserve">Para el segundo semestre se genero dos estrategias para la recolección  de residuos y el reciclaje. A través de la alianza entre el IDRD y Recicla LATAM, se instalaron 10 estaciones de reciclaje en diversos parques, diseñadas para facilitar la separación de residuos y promover la educación ambiental. Además, se realizaron 6 jornadas de reciclaje (reciclatones), recolectando más de 143 kg de materiales reciclables y sensibilizando a la comunidad sobre el impacto ambiental del reciclaje.
Otra de las estrategias fue la recolección de residuos en el Parque Metropolitano Propuesto Arborizadora Alta, donde se sensibilizó a los asistentes sobre la importancia de mantener los parques limpios y se recogieron 180 bolsas de residuos. El programa contribuyó a reducir las emisiones de CO2 mediante la recolección de 1,099.5 kg de botellas PET, lo que evitó su disposición en rellenos sanitarios y redujo aproximadamente 2.96 toneladas de CO2.  Aunque algunos parques no alcanzaron los volúmenes de recolección esperados.
Se establecieron estrategias de adaptación y mitigación del cambio climático implementadas en los parques del Sistema Distrital de Bogotá, enfocadas en la recolección y reciclaje. Estas estrategias lograron promover avances significativos en la gestión de residuos y la sensibilización de los ciudadanos. Se espera que continúe expandiéndose y tenga un mayor impacto ambiental en Bogotá.    </t>
  </si>
  <si>
    <t>Derechos Humanos: Las actividades de reciclaje y gestión de residuos promovieron el respeto al derecho a vivir en un entorno limpio y saludable para todos los ciudadanos, promoviendo la corresponsabilidad y el acceso a espacios limpios y sostenibles.
Poblacional Diferencial: Sensibilización a todos los grupos poblacionales, especialmente a aquellos en áreas vulnerables, sobre la importancia de la gestión ambiental y el reciclaje, adaptando los mensajes a las características de cada grupo.
Territorial: Implementación de estrategias específicas para las áreas de Bogotá con mayores problemas de residuos o mayor vulnerabilidad frente al cambio climático, promoviendo la equidad territorial en las intervenciones ambientales.
Ambiental: Este enfoque es central, ya que las estrategias de adaptación y mitigación buscan reducir el impacto ambiental de los parques mediante la gestión de residuos, el reciclaje y la promoción de prácticas sostenibles, contribuyendo a la lucha contra el cambio climático.</t>
  </si>
  <si>
    <t xml:space="preserve">Durante el primer semetre de 2023 el JBB realizó mantenimiento a  1.979 ejemplares ubicados en parques, así:PARQUE DE BOLSILLO: 2 
PARQUE METROPOLITANO: 1,055 
PARQUE VECINAL: 874 
PARQUE ZONAL : 48
Las actividades1 de mantenimiento son requeridas para permitir la permanencia del elemento natural y todos sus beneficios ambientales y ecosistemicos
</t>
  </si>
  <si>
    <t>Se realizaron actividades de mantenimiento son requeridas para permitir la permanencia del elemento natural y todos sus beneficios ambientales y ecosistemicos, como estratégia de mejoramiento, mantenimiento sostenible, adaptación  y mitigación del cambio climático de la infraestructura física del Sistema Distrital de Parques</t>
  </si>
  <si>
    <t xml:space="preserve">Durante el segundo trimestre del año 2023 el Jardín Botánico realizó el mantenimiento de 29.330 arboles ubicados en parques adminsitrados por el Instituto Distrital de Recreación y Deporte- IDRD en la ciudad de Bogotá, en terminos acumulativos durante el primer semestre del año se realizó el mantenimiento  total 31.309 arboles en los parques administrados por el IDRD, dando cumplimiento a lo programado para el año que corresponde a al formula Arboles mantenidos/arboles programados: 
31.309 % 31.309 = 100%
La distribución de arboles por tipo de parque es la siguiente: 
- Parques Metropolitanos: 19001 arboles mantenidos
-Parquez Zonales : 12308 arboles mantenidos. 
Las actividades  de mantenimiento son requeridas para permitir la permanencia del elemento natural y todos sus beneficios ambientales y ecosistémicos
</t>
  </si>
  <si>
    <t>Se realizaron actividades de mantenimiento que son requeridas para permitir la permanencia del elemento natural y todos sus beneficios ambientales y ecosistemicos, como estratégia de mejoramiento, mantenimiento sostenible, adaptación  y mitigación del cambio climático de la infraestructura física del Sistema Distrital de Parques</t>
  </si>
  <si>
    <t>Durante el cuarto  trimestre del año 2023 el Jardín Botánico realizó el mantenimiento de 8.141 arboles ubicados en parques adminsitrados por el Instituto Distrital de Recreación y Deporte- IDRD en la ciudad de Bogotá, en terminos acumulativos durante la vigencia semestre se realizó el mantenimiento  total 40,294 arboles en los parques administrados por el IDRD, dando cumplimiento a lo programado para el año que corresponde a al formula Arboles mantenidos/arboles programados:
La distribución de arboles por tipo de parque es la siguiente:
- Parques Metropolitanos: 25.249 arboles mantenidos
-Parquez Zonales : 12308 arboles mantenidos.
Las actividades  de mantenimiento son requeridas para permitir la permanencia del elemento natural y todos sus beneficios ambientales y ecosistémicos
 estas actividades incluyen mantenimiento al arbolado joven con actividades de riego, fertilización, poda, plateo, retutorado, entre otras, así como el mantenimiento de arboles adultos para el manejo integral de plagas y enfermedades en el Distrito capital.</t>
  </si>
  <si>
    <t>Durante el primer semestre del año 2024 el Jardín Botánico realizó el mantenimiento de 31.410 árboles en los parques administrados por el IDRD, dando cumplimiento a lo programado para el año que corresponde a la formula árboles mantenidos/árboles programados:
La distribución de árboles por tipo de parque es la siguiente:
- Parques Metropolitanos: 19.868 árboles mantenidos
-Parques Zonales: 6.2944 árboles mantenidos.
- Escenario deportivo: 485 árboles mantenidos
- parque de bolsillo: 841 árboles mantenidos 
- parques vecinales: 3.454 árboles mantenidos 
Es necesario aclarar que el momento de revisión de la política y el indicador de mantenimiento se informó que el universo total de ejemplares existentes en los parques era de 69.661 (universo total) pero no todos los ejemplares requieren mantenimiento toda vez que se priorizan las actividades a arboles jovenes y/o árboles que requieren actividades especializadas para el manejo de plagas y enfermedades así como tratamientos integrales, por eso la ejecución de los mismos obedecerá a los intervenidos con actividades de mantenimiento y la fórmula del indicador se aplica de la siguiente manera: 
Se sugiere el siguiente indicador:  arboles mantenidos / arboles programados
Las actividades de mantenimiento son requeridas para permitir la permanencia del elemento natural y todos sus beneficios ambientales y ecosistémicos
 estas actividades incluyen mantenimiento al arbolado joven con actividades de riego, fertilización, poda, plateo, retutorado, entre otras, así como el mantenimiento de árboles adultos para el manejo integral de plagas y enfermedades en el Distrito capital.</t>
  </si>
  <si>
    <t>Se realizaron actividades de mantenimiento que son requeridas para permitir la permanencia del elemento natural y todos sus beneficios ambientales y ecosistemicos, como estrategia de mejoramiento, mantenimiento sostenible, adaptación  y mitigación del cambio climático de la infraestructura física del Sistema Distrital de Parques en cumplimiento al enfoque ambiental.</t>
  </si>
  <si>
    <t>Durante el II semestre del año 2024 el Jardín Botánico realizó el mantenimiento de 24.506  árboles en los parques administrados por el IDRD, dando cumplimiento a lo programado para el año que corresponde a la formula árboles mantenidos/árboles programados:
La distribución de árboles por tipo de parque es la siguiente:
- Parques Metropolitanos: 11.033 árboles mantenidos
-Parques Zonales: 3.061 árboles mantenidos.
- Parque Lineal Hídrico del Río Bogotá y Adaptación al cambio climático: 21 árboles mantenidos
- parque de bolsillo: 242 árboles mantenidos 
- parques vecinales: 6.589  árboles mantenidos 
Es necesario aclarar que el momento de revisión de la política y el indicador de mantenimiento se informó que el universo total de ejemplares existentes en los parques era de 69.661 (universo total) pero no todos los ejemplares requieren mantenimiento toda vez que se priorizan las actividades a arboles jovenes y/o árboles que requieren actividades especializadas para el manejo de plagas y enfermedades así como tratamientos integrales, por eso la ejecución de los mismos obedecerá a los intervenidos con actividades de mantenimiento y la fórmula del indicador se aplica de la siguiente manera: 
Se sugiere el siguiente indicador:  arboles mantenidos / arboles programados
Las actividades de mantenimiento son requeridas para permitir la permanencia del elemento natural y todos sus beneficios ambientales y ecosistémicos
 estas actividades incluyen mantenimiento al arbolado joven con actividades de riego, fertilización, poda, plateo, retutorado, entre otras, así como el mantenimiento de árboles adultos para el manejo integral de plagas y enfermedades en el Distrito capital.</t>
  </si>
  <si>
    <t xml:space="preserve"> </t>
  </si>
  <si>
    <t>Seleccione el año que desea analizar:</t>
  </si>
  <si>
    <t>Seleccione el trimestre del reporte:</t>
  </si>
  <si>
    <t>AVANCE DURANTE LA VIGENCIA</t>
  </si>
  <si>
    <t>AVANCE HASTA LA VIGENCIA</t>
  </si>
  <si>
    <t>AVANCE ACUMULADO</t>
  </si>
  <si>
    <t>Trayectoria Ideal Acumulada</t>
  </si>
  <si>
    <t>Producto #</t>
  </si>
  <si>
    <t>Porcentaje de avance durante la vigencia</t>
  </si>
  <si>
    <t>Semáforo de la Vigencia</t>
  </si>
  <si>
    <t>Porcentaje de Avance Hasta la Vigencia</t>
  </si>
  <si>
    <t>Semáforo Hasta la Vigencia</t>
  </si>
  <si>
    <t>Porcentaje de avance Acumulado</t>
  </si>
  <si>
    <t>Semáforo Acumulado</t>
  </si>
  <si>
    <t>PAV. Ajustado (100%)</t>
  </si>
  <si>
    <t>Porcentaje Vigencia  Ponderado</t>
  </si>
  <si>
    <t>Porcentaje de Avance Hasta la Vigencia (100%)</t>
  </si>
  <si>
    <t xml:space="preserve">Porcentaje Hasta la Vigencia Ponderado </t>
  </si>
  <si>
    <t>PAA. (100%)</t>
  </si>
  <si>
    <t xml:space="preserve">Porcentaje Acumulado Ponderado </t>
  </si>
  <si>
    <t>Trayectoria Acumulada (Avance ideal)</t>
  </si>
  <si>
    <t>Trayectoria Ponderada</t>
  </si>
  <si>
    <t>CÁLCULO DE SEMÁFOROS</t>
  </si>
  <si>
    <t>MATRIZ DE AVANCE DE LA POLÍTICA POR OBJETIVOS</t>
  </si>
  <si>
    <t xml:space="preserve">CÁLCULO DE AVANCE DE LA POLÍTICA </t>
  </si>
  <si>
    <t>CÁLCULO DE AVANCE ACUMULADO DE LOS OBJETIVOS</t>
  </si>
  <si>
    <t>CÁLCULO DE SEMÁFORO DE PRODUCTOS POR SECTOR RESPONSABLE ACUMULADO</t>
  </si>
  <si>
    <t>CÁLCULO DE SEMÁFORO DE PRODUCTOS POR SECTOR RESPONSABLE HASTA LA VIGENCIA</t>
  </si>
  <si>
    <t>Semáforo de avance Hasta la Vigencia (Ajustado)</t>
  </si>
  <si>
    <t>OBJETIVOS</t>
  </si>
  <si>
    <t>Avance Acumulado de la Política y los Objetivos</t>
  </si>
  <si>
    <t>Avance hasta la Vigencia de la Política y los Objetivos</t>
  </si>
  <si>
    <t>Trayectoria Ideal Acumulada de la Política y los objetivos</t>
  </si>
  <si>
    <t>Trayectoria Ideal hasta la Vigencia de la Política y los objetivos</t>
  </si>
  <si>
    <t>POLÍTICA</t>
  </si>
  <si>
    <t xml:space="preserve">AVANCE ACUMULADO </t>
  </si>
  <si>
    <t xml:space="preserve">TRAYECTORIA IDEAL </t>
  </si>
  <si>
    <t xml:space="preserve">BRECHA EN LA POLITICA </t>
  </si>
  <si>
    <t>BASE</t>
  </si>
  <si>
    <t xml:space="preserve"> BRECHA POSITIVA</t>
  </si>
  <si>
    <t>BRECHA NEGATIVA</t>
  </si>
  <si>
    <t>SIN BRECHA</t>
  </si>
  <si>
    <t>NOMBRE DEL OBJETIVO</t>
  </si>
  <si>
    <t>TRAYECTORIA IDEAL ACUMULADA</t>
  </si>
  <si>
    <t>Cuenta de Semáforo Acumulado</t>
  </si>
  <si>
    <t>Etiquetas de columna</t>
  </si>
  <si>
    <t>Count of Semáforo Hasta la Vigencia</t>
  </si>
  <si>
    <t>AVANCE ACUMULADO DE LA POLÍTICA PÚBLICA</t>
  </si>
  <si>
    <t>1. Promover la participación</t>
  </si>
  <si>
    <t>Etiquetas de fila</t>
  </si>
  <si>
    <t>Total general</t>
  </si>
  <si>
    <t>Color</t>
  </si>
  <si>
    <t>Cantidad de Productos</t>
  </si>
  <si>
    <t xml:space="preserve">Suma de Porcentaje Acumulado Ponderado </t>
  </si>
  <si>
    <t xml:space="preserve">Sum of Porcentaje Hasta la Vigencia Ponderado </t>
  </si>
  <si>
    <t>Suma de Trayectoria Ponderada</t>
  </si>
  <si>
    <t>Sum of Ponderación relativa del Producto (%)</t>
  </si>
  <si>
    <t>AVANCE HASTA LA VIGGENCIA DE LA POLÍTICA PÚBLICA</t>
  </si>
  <si>
    <t>2. Fortalecer la Gobernanza</t>
  </si>
  <si>
    <t>Cumplimiento ALTO</t>
  </si>
  <si>
    <t>1.</t>
  </si>
  <si>
    <t>3. Promover la formación</t>
  </si>
  <si>
    <t>Cumplimiento BAJO</t>
  </si>
  <si>
    <t>2.</t>
  </si>
  <si>
    <t>4. Optimizar la comunicación</t>
  </si>
  <si>
    <t>Cumplimiento MEDIO</t>
  </si>
  <si>
    <t>3.</t>
  </si>
  <si>
    <t>5. Mejorar los parques , escenarios y equipamientos recreativos y deportivos</t>
  </si>
  <si>
    <t>4.</t>
  </si>
  <si>
    <t>Semáforo de avance Acumulado</t>
  </si>
  <si>
    <t>5.</t>
  </si>
  <si>
    <t>CÁLCULO DE AVANCE HASTA LA VIGENCIA DE LOS OBJETIVOS</t>
  </si>
  <si>
    <t>TRAYECTORIA IDEAL HASTA LA VIGENCIA</t>
  </si>
  <si>
    <t>#NOMBRE?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</si>
</sst>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 mmmm\ yyyy"/>
    <numFmt numFmtId="165" formatCode="0.0%"/>
  </numFmts>
  <fonts count="24" x14ac:knownFonts="1">
    <font>
      <sz val="11"/>
      <color theme="1"/>
      <name val="Calibri"/>
      <family val="2"/>
      <scheme val="minor"/>
    </font>
    <font>
      <b/>
      <sz val="18"/>
      <color theme="1"/>
      <name val="Calibri"/>
      <family val="2"/>
      <scheme val="minor"/>
    </font>
    <font>
      <sz val="10"/>
      <name val="Arial"/>
      <family val="2"/>
    </font>
    <font>
      <b/>
      <sz val="16"/>
      <name val="Arial"/>
      <family val="2"/>
    </font>
    <font>
      <b/>
      <sz val="11"/>
      <name val="Calibri"/>
      <family val="2"/>
      <scheme val="minor"/>
    </font>
    <font>
      <b/>
      <sz val="10"/>
      <name val="Calibri"/>
      <family val="2"/>
      <scheme val="minor"/>
    </font>
    <font>
      <sz val="11"/>
      <name val="Calibri"/>
      <family val="2"/>
      <scheme val="minor"/>
    </font>
    <font>
      <b/>
      <sz val="12"/>
      <name val="Arial"/>
      <family val="2"/>
    </font>
    <font>
      <sz val="11"/>
      <color rgb="FF3F3F76"/>
      <name val="Calibri"/>
      <family val="2"/>
      <scheme val="minor"/>
    </font>
    <font>
      <b/>
      <sz val="16"/>
      <name val="Calibri"/>
      <family val="2"/>
      <scheme val="minor"/>
    </font>
    <font>
      <b/>
      <sz val="16"/>
      <color theme="1"/>
      <name val="Calibri"/>
      <family val="2"/>
      <scheme val="minor"/>
    </font>
    <font>
      <b/>
      <sz val="12"/>
      <name val="Calibri"/>
      <family val="2"/>
      <scheme val="minor"/>
    </font>
    <font>
      <b/>
      <sz val="12"/>
      <color theme="0"/>
      <name val="Calibri"/>
      <family val="2"/>
      <scheme val="minor"/>
    </font>
    <font>
      <b/>
      <sz val="18"/>
      <color rgb="FF3F3F76"/>
      <name val="Calibri"/>
      <family val="2"/>
      <scheme val="minor"/>
    </font>
    <font>
      <b/>
      <sz val="11"/>
      <color theme="1"/>
      <name val="Calibri"/>
      <family val="2"/>
      <scheme val="minor"/>
    </font>
    <font>
      <b/>
      <sz val="11"/>
      <color theme="0"/>
      <name val="Calibri"/>
      <family val="2"/>
      <scheme val="minor"/>
    </font>
    <font>
      <b/>
      <sz val="14"/>
      <name val="Calibri"/>
      <family val="2"/>
      <scheme val="minor"/>
    </font>
    <font>
      <sz val="10"/>
      <color theme="1"/>
      <name val="Arial"/>
      <family val="2"/>
    </font>
    <font>
      <sz val="11"/>
      <color theme="1"/>
      <name val="Arial"/>
      <family val="2"/>
    </font>
    <font>
      <sz val="10"/>
      <name val="Arial Narrow"/>
      <family val="2"/>
    </font>
    <font>
      <b/>
      <sz val="14"/>
      <color theme="1"/>
      <name val="Times New Roman"/>
      <family val="1"/>
    </font>
    <font>
      <sz val="14"/>
      <color theme="1"/>
      <name val="Times New Roman"/>
      <family val="1"/>
    </font>
    <font>
      <b/>
      <sz val="14"/>
      <name val="Times New Roman"/>
      <family val="1"/>
    </font>
    <font>
      <sz val="11"/>
      <color theme="1"/>
      <name val="Calibri"/>
      <family val="2"/>
      <scheme val="minor"/>
    </font>
  </fonts>
  <fills count="26">
    <fill>
      <patternFill patternType="none"/>
    </fill>
    <fill>
      <patternFill patternType="gray125"/>
    </fill>
    <fill>
      <patternFill patternType="solid">
        <fgColor rgb="FFFFCC99"/>
        <bgColor indexed="64"/>
      </patternFill>
    </fill>
    <fill>
      <patternFill patternType="solid">
        <fgColor theme="0" tint="-0.34995574816125979"/>
        <bgColor indexed="64"/>
      </patternFill>
    </fill>
    <fill>
      <patternFill patternType="solid">
        <fgColor rgb="FFFFCE33"/>
        <bgColor indexed="64"/>
      </patternFill>
    </fill>
    <fill>
      <patternFill patternType="solid">
        <fgColor theme="5"/>
        <bgColor indexed="64"/>
      </patternFill>
    </fill>
    <fill>
      <patternFill patternType="solid">
        <fgColor theme="5" tint="0.59996337778862885"/>
        <bgColor indexed="64"/>
      </patternFill>
    </fill>
    <fill>
      <patternFill patternType="solid">
        <fgColor theme="5" tint="0.39997558519241921"/>
        <bgColor indexed="64"/>
      </patternFill>
    </fill>
    <fill>
      <patternFill patternType="solid">
        <fgColor theme="7" tint="0.79995117038483843"/>
        <bgColor indexed="64"/>
      </patternFill>
    </fill>
    <fill>
      <patternFill patternType="solid">
        <fgColor theme="2" tint="-0.24994659260841701"/>
        <bgColor indexed="64"/>
      </patternFill>
    </fill>
    <fill>
      <patternFill patternType="solid">
        <fgColor theme="9" tint="0.59996337778862885"/>
        <bgColor indexed="64"/>
      </patternFill>
    </fill>
    <fill>
      <patternFill patternType="solid">
        <fgColor rgb="FFD58DFD"/>
        <bgColor indexed="64"/>
      </patternFill>
    </fill>
    <fill>
      <patternFill patternType="solid">
        <fgColor theme="8" tint="0.59996337778862885"/>
        <bgColor indexed="64"/>
      </patternFill>
    </fill>
    <fill>
      <patternFill patternType="solid">
        <fgColor theme="0" tint="-0.24994659260841701"/>
        <bgColor indexed="64"/>
      </patternFill>
    </fill>
    <fill>
      <patternFill patternType="solid">
        <fgColor rgb="FFFFFF00"/>
        <bgColor indexed="64"/>
      </patternFill>
    </fill>
    <fill>
      <patternFill patternType="solid">
        <fgColor rgb="FFC00000"/>
        <bgColor indexed="64"/>
      </patternFill>
    </fill>
    <fill>
      <patternFill patternType="solid">
        <fgColor theme="5" tint="-0.24994659260841701"/>
        <bgColor indexed="64"/>
      </patternFill>
    </fill>
    <fill>
      <patternFill patternType="solid">
        <fgColor theme="8" tint="-0.24994659260841701"/>
        <bgColor indexed="64"/>
      </patternFill>
    </fill>
    <fill>
      <patternFill patternType="solid">
        <fgColor theme="0"/>
        <bgColor indexed="64"/>
      </patternFill>
    </fill>
    <fill>
      <patternFill patternType="solid">
        <fgColor theme="8" tint="0.39997558519241921"/>
        <bgColor indexed="64"/>
      </patternFill>
    </fill>
    <fill>
      <patternFill patternType="solid">
        <fgColor rgb="FF72049E"/>
        <bgColor indexed="64"/>
      </patternFill>
    </fill>
    <fill>
      <patternFill patternType="solid">
        <fgColor rgb="FF9405CD"/>
        <bgColor indexed="64"/>
      </patternFill>
    </fill>
    <fill>
      <patternFill patternType="solid">
        <fgColor theme="9"/>
        <bgColor indexed="64"/>
      </patternFill>
    </fill>
    <fill>
      <patternFill patternType="solid">
        <fgColor theme="9" tint="0.39997558519241921"/>
        <bgColor indexed="64"/>
      </patternFill>
    </fill>
    <fill>
      <patternFill patternType="solid">
        <fgColor theme="8"/>
        <bgColor indexed="64"/>
      </patternFill>
    </fill>
    <fill>
      <patternFill patternType="solid">
        <fgColor theme="4"/>
        <bgColor indexed="64"/>
      </patternFill>
    </fill>
  </fills>
  <borders count="52">
    <border>
      <left/>
      <right/>
      <top/>
      <bottom/>
      <diagonal/>
    </border>
    <border>
      <left style="thin">
        <color rgb="FF7F7F7F"/>
      </left>
      <right style="thin">
        <color rgb="FF7F7F7F"/>
      </right>
      <top style="thin">
        <color rgb="FF7F7F7F"/>
      </top>
      <bottom style="thin">
        <color rgb="FF7F7F7F"/>
      </bottom>
      <diagonal/>
    </border>
    <border>
      <left style="thin">
        <color auto="1"/>
      </left>
      <right/>
      <top/>
      <bottom style="medium">
        <color auto="1"/>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thin">
        <color theme="1"/>
      </right>
      <top/>
      <bottom style="medium">
        <color auto="1"/>
      </bottom>
      <diagonal/>
    </border>
    <border>
      <left style="thin">
        <color auto="1"/>
      </left>
      <right style="thin">
        <color theme="1"/>
      </right>
      <top/>
      <bottom style="medium">
        <color auto="1"/>
      </bottom>
      <diagonal/>
    </border>
    <border>
      <left style="medium">
        <color auto="1"/>
      </left>
      <right style="thin">
        <color theme="1"/>
      </right>
      <top/>
      <bottom style="medium">
        <color theme="1"/>
      </bottom>
      <diagonal/>
    </border>
    <border>
      <left style="thin">
        <color auto="1"/>
      </left>
      <right style="medium">
        <color auto="1"/>
      </right>
      <top/>
      <bottom style="medium">
        <color theme="1"/>
      </bottom>
      <diagonal/>
    </border>
    <border>
      <left style="medium">
        <color auto="1"/>
      </left>
      <right style="medium">
        <color auto="1"/>
      </right>
      <top/>
      <bottom style="medium">
        <color theme="1"/>
      </bottom>
      <diagonal/>
    </border>
    <border>
      <left style="medium">
        <color auto="1"/>
      </left>
      <right/>
      <top/>
      <bottom style="thin">
        <color theme="4" tint="0.39997558519241921"/>
      </bottom>
      <diagonal/>
    </border>
    <border>
      <left style="thin">
        <color auto="1"/>
      </left>
      <right/>
      <top/>
      <bottom style="thin">
        <color theme="4" tint="0.39997558519241921"/>
      </bottom>
      <diagonal/>
    </border>
    <border>
      <left style="thin">
        <color auto="1"/>
      </left>
      <right/>
      <top style="medium">
        <color auto="1"/>
      </top>
      <bottom/>
      <diagonal/>
    </border>
    <border>
      <left style="medium">
        <color auto="1"/>
      </left>
      <right style="medium">
        <color auto="1"/>
      </right>
      <top/>
      <bottom/>
      <diagonal/>
    </border>
    <border>
      <left style="thin">
        <color auto="1"/>
      </left>
      <right style="medium">
        <color auto="1"/>
      </right>
      <top/>
      <bottom/>
      <diagonal/>
    </border>
    <border>
      <left style="medium">
        <color auto="1"/>
      </left>
      <right/>
      <top style="medium">
        <color auto="1"/>
      </top>
      <bottom/>
      <diagonal/>
    </border>
    <border>
      <left style="thin">
        <color auto="1"/>
      </left>
      <right style="medium">
        <color auto="1"/>
      </right>
      <top style="medium">
        <color auto="1"/>
      </top>
      <bottom/>
      <diagonal/>
    </border>
    <border>
      <left/>
      <right style="thin">
        <color auto="1"/>
      </right>
      <top/>
      <bottom style="medium">
        <color auto="1"/>
      </bottom>
      <diagonal/>
    </border>
    <border>
      <left style="thin">
        <color auto="1"/>
      </left>
      <right style="thin">
        <color auto="1"/>
      </right>
      <top/>
      <bottom style="medium">
        <color auto="1"/>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theme="1"/>
      </right>
      <top style="medium">
        <color auto="1"/>
      </top>
      <bottom style="medium">
        <color auto="1"/>
      </bottom>
      <diagonal/>
    </border>
    <border>
      <left style="medium">
        <color auto="1"/>
      </left>
      <right style="thin">
        <color theme="1"/>
      </right>
      <top style="medium">
        <color auto="1"/>
      </top>
      <bottom/>
      <diagonal/>
    </border>
    <border>
      <left/>
      <right style="thin">
        <color theme="1"/>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medium">
        <color auto="1"/>
      </right>
      <top style="medium">
        <color auto="1"/>
      </top>
      <bottom/>
      <diagonal/>
    </border>
  </borders>
  <cellStyleXfs count="4">
    <xf numFmtId="0" fontId="0" fillId="0" borderId="0"/>
    <xf numFmtId="9" fontId="23" fillId="0" borderId="0" applyFont="0" applyFill="0" applyBorder="0" applyAlignment="0" applyProtection="0"/>
    <xf numFmtId="0" fontId="2" fillId="0" borderId="0"/>
    <xf numFmtId="0" fontId="8" fillId="2" borderId="1" applyNumberFormat="0" applyAlignment="0" applyProtection="0"/>
  </cellStyleXfs>
  <cellXfs count="335">
    <xf numFmtId="0" fontId="0" fillId="0" borderId="0" xfId="0"/>
    <xf numFmtId="0" fontId="0" fillId="3" borderId="0" xfId="0" applyFill="1"/>
    <xf numFmtId="0" fontId="0" fillId="0" borderId="3" xfId="0" applyBorder="1"/>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8" xfId="0" applyFont="1" applyFill="1" applyBorder="1" applyAlignment="1">
      <alignment horizontal="center" vertical="center" wrapText="1"/>
    </xf>
    <xf numFmtId="10" fontId="6" fillId="0" borderId="3" xfId="1" applyNumberFormat="1" applyFont="1" applyFill="1" applyBorder="1" applyAlignment="1" applyProtection="1">
      <alignment horizontal="center" vertical="center" wrapText="1"/>
    </xf>
    <xf numFmtId="10" fontId="6" fillId="0" borderId="0" xfId="1" applyNumberFormat="1" applyFont="1" applyFill="1" applyBorder="1" applyAlignment="1" applyProtection="1">
      <alignment horizontal="center" vertical="center" wrapText="1"/>
    </xf>
    <xf numFmtId="0" fontId="5" fillId="6" borderId="4"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0" fillId="0" borderId="3"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10" fontId="0" fillId="0" borderId="3" xfId="1" applyNumberFormat="1" applyFont="1" applyBorder="1" applyAlignment="1">
      <alignment horizontal="center" vertical="center"/>
    </xf>
    <xf numFmtId="2" fontId="0" fillId="0" borderId="0" xfId="0" applyNumberFormat="1"/>
    <xf numFmtId="1" fontId="0" fillId="0" borderId="0" xfId="0" applyNumberFormat="1"/>
    <xf numFmtId="2" fontId="4" fillId="8" borderId="4" xfId="0" applyNumberFormat="1" applyFont="1" applyFill="1" applyBorder="1" applyAlignment="1">
      <alignment horizontal="center" vertical="center" wrapText="1"/>
    </xf>
    <xf numFmtId="2" fontId="4" fillId="8" borderId="5" xfId="0" applyNumberFormat="1" applyFont="1" applyFill="1" applyBorder="1" applyAlignment="1">
      <alignment horizontal="center" vertical="center" wrapText="1"/>
    </xf>
    <xf numFmtId="10" fontId="0" fillId="0" borderId="11" xfId="1" applyNumberFormat="1" applyFont="1" applyFill="1" applyBorder="1" applyAlignment="1">
      <alignment horizontal="center" vertical="center"/>
    </xf>
    <xf numFmtId="0" fontId="4" fillId="4" borderId="15" xfId="0" applyFont="1" applyFill="1" applyBorder="1" applyAlignment="1">
      <alignment horizontal="center" vertical="center" wrapText="1"/>
    </xf>
    <xf numFmtId="2" fontId="0" fillId="0" borderId="3" xfId="0" applyNumberFormat="1" applyBorder="1" applyAlignment="1">
      <alignment horizontal="center" vertical="center"/>
    </xf>
    <xf numFmtId="2" fontId="0" fillId="0" borderId="3" xfId="0" quotePrefix="1" applyNumberFormat="1" applyBorder="1" applyAlignment="1">
      <alignment horizontal="center" vertical="center"/>
    </xf>
    <xf numFmtId="0" fontId="5" fillId="6" borderId="6" xfId="0" applyFont="1" applyFill="1" applyBorder="1" applyAlignment="1">
      <alignment horizontal="center" vertical="center" wrapText="1"/>
    </xf>
    <xf numFmtId="2" fontId="0" fillId="0" borderId="0" xfId="0" applyNumberFormat="1" applyAlignment="1">
      <alignment horizontal="center" vertical="center"/>
    </xf>
    <xf numFmtId="2" fontId="0" fillId="0" borderId="11" xfId="0" applyNumberFormat="1" applyBorder="1" applyAlignment="1">
      <alignment horizontal="center" vertical="center"/>
    </xf>
    <xf numFmtId="9" fontId="0" fillId="0" borderId="11" xfId="1" applyFont="1" applyBorder="1" applyAlignment="1">
      <alignment horizontal="center" vertical="center"/>
    </xf>
    <xf numFmtId="9" fontId="0" fillId="0" borderId="3" xfId="1" applyFont="1" applyBorder="1" applyAlignment="1">
      <alignment horizontal="center" vertical="center"/>
    </xf>
    <xf numFmtId="9" fontId="0" fillId="0" borderId="0" xfId="1" applyFont="1" applyAlignment="1">
      <alignment horizontal="center" vertical="center"/>
    </xf>
    <xf numFmtId="165" fontId="0" fillId="0" borderId="11" xfId="1" applyNumberFormat="1" applyFont="1" applyBorder="1" applyAlignment="1">
      <alignment horizontal="center" vertical="center"/>
    </xf>
    <xf numFmtId="165" fontId="0" fillId="0" borderId="3" xfId="1" applyNumberFormat="1" applyFont="1" applyBorder="1" applyAlignment="1">
      <alignment horizontal="center" vertical="center"/>
    </xf>
    <xf numFmtId="165" fontId="0" fillId="0" borderId="0" xfId="1" applyNumberFormat="1" applyFont="1" applyAlignment="1">
      <alignment horizontal="center" vertical="center"/>
    </xf>
    <xf numFmtId="165" fontId="0" fillId="0" borderId="0" xfId="1" applyNumberFormat="1" applyFont="1" applyBorder="1" applyAlignment="1">
      <alignment horizontal="center" vertical="center"/>
    </xf>
    <xf numFmtId="0" fontId="0" fillId="9" borderId="0" xfId="0" applyFill="1" applyAlignment="1">
      <alignment horizontal="center" vertical="center"/>
    </xf>
    <xf numFmtId="0" fontId="4" fillId="10" borderId="18" xfId="0" applyFont="1" applyFill="1" applyBorder="1" applyAlignment="1">
      <alignment horizontal="center" vertical="center" wrapText="1"/>
    </xf>
    <xf numFmtId="0" fontId="4" fillId="10" borderId="19" xfId="0" applyFont="1" applyFill="1" applyBorder="1" applyAlignment="1">
      <alignment horizontal="center" vertical="center" wrapText="1"/>
    </xf>
    <xf numFmtId="0" fontId="11" fillId="11" borderId="23" xfId="0" applyFont="1" applyFill="1" applyBorder="1" applyAlignment="1">
      <alignment horizontal="center" vertical="center" wrapText="1"/>
    </xf>
    <xf numFmtId="0" fontId="0" fillId="0" borderId="0" xfId="0" applyAlignment="1">
      <alignment horizontal="center" vertical="center" wrapText="1"/>
    </xf>
    <xf numFmtId="10" fontId="0" fillId="0" borderId="0" xfId="1" applyNumberFormat="1" applyFont="1" applyFill="1" applyAlignment="1">
      <alignment horizontal="center" vertical="center"/>
    </xf>
    <xf numFmtId="165" fontId="0" fillId="0" borderId="3" xfId="1" applyNumberFormat="1" applyFont="1" applyFill="1" applyBorder="1" applyAlignment="1">
      <alignment horizontal="center" vertical="center"/>
    </xf>
    <xf numFmtId="10" fontId="0" fillId="0" borderId="24" xfId="1" applyNumberFormat="1" applyFont="1" applyFill="1" applyBorder="1" applyAlignment="1">
      <alignment horizontal="center" vertical="center"/>
    </xf>
    <xf numFmtId="0" fontId="13" fillId="2" borderId="1" xfId="3" applyFont="1" applyAlignment="1">
      <alignment horizontal="center" vertical="center"/>
    </xf>
    <xf numFmtId="49" fontId="4" fillId="12" borderId="7" xfId="1" applyNumberFormat="1" applyFont="1" applyFill="1" applyBorder="1" applyAlignment="1" applyProtection="1">
      <alignment horizontal="center" vertical="center" wrapText="1"/>
    </xf>
    <xf numFmtId="49" fontId="4" fillId="12" borderId="6" xfId="1" applyNumberFormat="1" applyFont="1" applyFill="1" applyBorder="1" applyAlignment="1" applyProtection="1">
      <alignment horizontal="center" vertical="center" wrapText="1"/>
    </xf>
    <xf numFmtId="49" fontId="4" fillId="12" borderId="14" xfId="1" applyNumberFormat="1" applyFont="1" applyFill="1" applyBorder="1" applyAlignment="1" applyProtection="1">
      <alignment horizontal="center" vertical="center" wrapText="1"/>
    </xf>
    <xf numFmtId="49" fontId="0" fillId="0" borderId="0" xfId="0" applyNumberFormat="1"/>
    <xf numFmtId="1" fontId="4" fillId="10" borderId="7" xfId="1" applyNumberFormat="1" applyFont="1" applyFill="1" applyBorder="1" applyAlignment="1">
      <alignment horizontal="center" vertical="center" wrapText="1"/>
    </xf>
    <xf numFmtId="10" fontId="0" fillId="0" borderId="0" xfId="1" applyNumberFormat="1" applyFont="1" applyAlignment="1">
      <alignment horizontal="center" vertical="center"/>
    </xf>
    <xf numFmtId="10" fontId="0" fillId="0" borderId="11" xfId="1" applyNumberFormat="1" applyFont="1" applyBorder="1" applyAlignment="1">
      <alignment horizontal="center" vertical="center"/>
    </xf>
    <xf numFmtId="0" fontId="0" fillId="9" borderId="0" xfId="0" applyFill="1" applyAlignment="1" applyProtection="1">
      <alignment horizontal="center" vertical="center"/>
      <protection locked="0"/>
    </xf>
    <xf numFmtId="0" fontId="14" fillId="9" borderId="0" xfId="0" applyFont="1" applyFill="1" applyAlignment="1" applyProtection="1">
      <alignment horizontal="center" vertical="center"/>
      <protection locked="0"/>
    </xf>
    <xf numFmtId="0" fontId="14" fillId="9" borderId="0" xfId="0" applyFont="1" applyFill="1" applyAlignment="1" applyProtection="1">
      <alignment horizontal="center" vertical="center" wrapText="1"/>
      <protection locked="0"/>
    </xf>
    <xf numFmtId="0" fontId="14" fillId="9" borderId="4" xfId="0" applyFont="1" applyFill="1" applyBorder="1" applyAlignment="1" applyProtection="1">
      <alignment horizontal="center" vertical="center" wrapText="1"/>
      <protection locked="0"/>
    </xf>
    <xf numFmtId="0" fontId="14" fillId="9" borderId="5" xfId="0" applyFont="1" applyFill="1" applyBorder="1" applyAlignment="1" applyProtection="1">
      <alignment horizontal="center" vertical="center" wrapText="1"/>
      <protection locked="0"/>
    </xf>
    <xf numFmtId="0" fontId="14" fillId="9" borderId="9" xfId="0" applyFont="1" applyFill="1" applyBorder="1" applyAlignment="1" applyProtection="1">
      <alignment horizontal="center" vertical="center" wrapText="1"/>
      <protection locked="0"/>
    </xf>
    <xf numFmtId="0" fontId="14" fillId="9" borderId="10" xfId="0" applyFont="1" applyFill="1" applyBorder="1" applyAlignment="1" applyProtection="1">
      <alignment horizontal="center" vertical="center" wrapText="1"/>
      <protection locked="0"/>
    </xf>
    <xf numFmtId="0" fontId="14" fillId="9" borderId="28" xfId="0" applyFont="1" applyFill="1" applyBorder="1" applyAlignment="1" applyProtection="1">
      <alignment horizontal="center" vertical="center" wrapText="1"/>
      <protection locked="0"/>
    </xf>
    <xf numFmtId="0" fontId="14" fillId="9" borderId="29"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center" vertical="center" wrapText="1"/>
      <protection locked="0"/>
    </xf>
    <xf numFmtId="0" fontId="0" fillId="0" borderId="30" xfId="0" applyBorder="1" applyAlignment="1">
      <alignment horizontal="center" vertical="center"/>
    </xf>
    <xf numFmtId="0" fontId="0" fillId="0" borderId="3" xfId="0" applyBorder="1" applyAlignment="1" applyProtection="1">
      <alignment horizontal="center" vertical="center" wrapText="1"/>
      <protection locked="0"/>
    </xf>
    <xf numFmtId="10" fontId="0" fillId="0" borderId="0" xfId="0" applyNumberFormat="1" applyAlignment="1">
      <alignment horizontal="center" vertical="center" wrapText="1"/>
    </xf>
    <xf numFmtId="165" fontId="0" fillId="0" borderId="0" xfId="0" applyNumberFormat="1" applyAlignment="1">
      <alignment horizontal="center" vertical="center" wrapText="1"/>
    </xf>
    <xf numFmtId="165" fontId="0" fillId="0" borderId="11" xfId="0" applyNumberFormat="1" applyBorder="1" applyAlignment="1">
      <alignment horizontal="center" vertical="center" wrapText="1"/>
    </xf>
    <xf numFmtId="0" fontId="0" fillId="0" borderId="0" xfId="0" applyAlignment="1" applyProtection="1">
      <alignment horizontal="center" vertical="center" wrapText="1"/>
      <protection locked="0"/>
    </xf>
    <xf numFmtId="0" fontId="14" fillId="0" borderId="31" xfId="0" applyFont="1" applyBorder="1" applyAlignment="1" applyProtection="1">
      <alignment horizontal="center" vertical="center"/>
      <protection locked="0"/>
    </xf>
    <xf numFmtId="0" fontId="14" fillId="0" borderId="32" xfId="0" applyFont="1" applyBorder="1" applyAlignment="1" applyProtection="1">
      <alignment horizontal="center" vertical="center" wrapText="1"/>
      <protection locked="0"/>
    </xf>
    <xf numFmtId="0" fontId="0" fillId="0" borderId="14" xfId="0"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pplyProtection="1">
      <alignment horizontal="center" vertical="center" wrapText="1"/>
      <protection locked="0"/>
    </xf>
    <xf numFmtId="165" fontId="0" fillId="0" borderId="33" xfId="1" applyNumberFormat="1" applyFont="1" applyBorder="1" applyAlignment="1" applyProtection="1">
      <alignment horizontal="center" vertical="center" wrapText="1"/>
    </xf>
    <xf numFmtId="165" fontId="0" fillId="0" borderId="33" xfId="0" applyNumberFormat="1" applyBorder="1" applyAlignment="1">
      <alignment horizontal="center" vertical="center" wrapText="1"/>
    </xf>
    <xf numFmtId="10" fontId="0" fillId="0" borderId="33" xfId="0" applyNumberFormat="1" applyBorder="1" applyAlignment="1">
      <alignment horizontal="center" vertical="center" wrapText="1"/>
    </xf>
    <xf numFmtId="165" fontId="0" fillId="0" borderId="13" xfId="0" applyNumberFormat="1" applyBorder="1" applyAlignment="1">
      <alignment horizontal="center" vertical="center" wrapText="1"/>
    </xf>
    <xf numFmtId="0" fontId="0" fillId="0" borderId="34" xfId="0" applyBorder="1" applyAlignment="1" applyProtection="1">
      <alignment horizontal="center" vertical="center"/>
      <protection locked="0"/>
    </xf>
    <xf numFmtId="10" fontId="0" fillId="0" borderId="24" xfId="0" applyNumberFormat="1" applyBorder="1" applyAlignment="1">
      <alignment horizontal="center" vertical="center"/>
    </xf>
    <xf numFmtId="10" fontId="0" fillId="0" borderId="11" xfId="0" applyNumberFormat="1" applyBorder="1" applyAlignment="1">
      <alignment horizontal="center" vertical="center"/>
    </xf>
    <xf numFmtId="0" fontId="0" fillId="0" borderId="35" xfId="0" applyBorder="1" applyAlignment="1" applyProtection="1">
      <alignment horizontal="center" vertical="center"/>
      <protection locked="0"/>
    </xf>
    <xf numFmtId="0" fontId="0" fillId="0" borderId="6" xfId="0" applyBorder="1" applyAlignment="1">
      <alignment horizontal="center" vertical="center" wrapText="1"/>
    </xf>
    <xf numFmtId="10" fontId="0" fillId="0" borderId="6" xfId="0" applyNumberFormat="1" applyBorder="1" applyAlignment="1">
      <alignment horizontal="center" vertical="center"/>
    </xf>
    <xf numFmtId="10" fontId="0" fillId="0" borderId="8" xfId="0" applyNumberFormat="1" applyBorder="1" applyAlignment="1">
      <alignment horizontal="center" vertical="center"/>
    </xf>
    <xf numFmtId="10" fontId="0" fillId="0" borderId="15" xfId="0" applyNumberFormat="1" applyBorder="1" applyAlignment="1">
      <alignment horizontal="center" vertical="center"/>
    </xf>
    <xf numFmtId="0" fontId="0" fillId="13" borderId="0" xfId="0" applyFill="1"/>
    <xf numFmtId="0" fontId="0" fillId="0" borderId="37" xfId="0" applyBorder="1" applyAlignment="1">
      <alignment horizontal="center" vertical="center"/>
    </xf>
    <xf numFmtId="0" fontId="0" fillId="0" borderId="38" xfId="0" applyBorder="1" applyAlignment="1">
      <alignment horizontal="center" vertical="center"/>
    </xf>
    <xf numFmtId="49" fontId="13" fillId="2" borderId="1" xfId="3" applyNumberFormat="1" applyFont="1" applyAlignment="1" applyProtection="1">
      <alignment horizontal="center" vertical="center"/>
      <protection locked="0"/>
    </xf>
    <xf numFmtId="0" fontId="1" fillId="3" borderId="0" xfId="0" applyFont="1" applyFill="1" applyAlignment="1">
      <alignment horizontal="center" vertical="center"/>
    </xf>
    <xf numFmtId="14" fontId="16" fillId="0" borderId="39" xfId="0" applyNumberFormat="1" applyFont="1" applyBorder="1" applyAlignment="1" applyProtection="1">
      <alignment horizontal="center" vertical="center" wrapText="1"/>
      <protection locked="0"/>
    </xf>
    <xf numFmtId="165" fontId="0" fillId="0" borderId="3" xfId="1" applyNumberFormat="1" applyFont="1" applyBorder="1" applyAlignment="1" applyProtection="1">
      <alignment horizontal="center" vertical="center" wrapText="1"/>
    </xf>
    <xf numFmtId="165" fontId="0" fillId="0" borderId="11" xfId="1" applyNumberFormat="1" applyFont="1" applyFill="1" applyBorder="1" applyAlignment="1" applyProtection="1">
      <alignment horizontal="center" vertical="center" wrapText="1"/>
    </xf>
    <xf numFmtId="2" fontId="0" fillId="0" borderId="3" xfId="1" applyNumberFormat="1" applyFont="1" applyBorder="1" applyAlignment="1" applyProtection="1">
      <alignment horizontal="center" vertical="center" wrapText="1"/>
    </xf>
    <xf numFmtId="9" fontId="0" fillId="0" borderId="3" xfId="1" applyFont="1" applyBorder="1" applyAlignment="1" applyProtection="1">
      <alignment horizontal="center" vertical="center" wrapText="1"/>
    </xf>
    <xf numFmtId="9" fontId="0" fillId="0" borderId="11" xfId="1" applyFont="1" applyFill="1" applyBorder="1" applyAlignment="1" applyProtection="1">
      <alignment horizontal="center" vertical="center" wrapText="1"/>
    </xf>
    <xf numFmtId="165" fontId="0" fillId="0" borderId="0" xfId="1" applyNumberFormat="1" applyFont="1" applyBorder="1" applyAlignment="1" applyProtection="1">
      <alignment horizontal="center" vertical="center" wrapText="1"/>
    </xf>
    <xf numFmtId="0" fontId="0" fillId="0" borderId="3" xfId="1" applyNumberFormat="1" applyFont="1" applyBorder="1" applyAlignment="1" applyProtection="1">
      <alignment horizontal="center" vertical="center" wrapText="1"/>
    </xf>
    <xf numFmtId="0" fontId="0" fillId="0" borderId="0" xfId="1" applyNumberFormat="1" applyFont="1" applyBorder="1" applyAlignment="1" applyProtection="1">
      <alignment horizontal="center" vertical="center" wrapText="1"/>
    </xf>
    <xf numFmtId="1" fontId="0" fillId="0" borderId="11" xfId="1" applyNumberFormat="1" applyFont="1" applyFill="1" applyBorder="1" applyAlignment="1" applyProtection="1">
      <alignment horizontal="center" vertical="center" wrapText="1"/>
    </xf>
    <xf numFmtId="9" fontId="0" fillId="0" borderId="0" xfId="1" applyFont="1" applyBorder="1" applyAlignment="1" applyProtection="1">
      <alignment horizontal="center" vertical="center" wrapText="1"/>
    </xf>
    <xf numFmtId="2" fontId="0" fillId="0" borderId="0" xfId="1" applyNumberFormat="1" applyFont="1" applyBorder="1" applyAlignment="1" applyProtection="1">
      <alignment horizontal="center" vertical="center" wrapText="1"/>
    </xf>
    <xf numFmtId="10" fontId="0" fillId="0" borderId="3" xfId="1" applyNumberFormat="1" applyFont="1" applyBorder="1" applyAlignment="1" applyProtection="1">
      <alignment horizontal="center" vertical="center"/>
    </xf>
    <xf numFmtId="10" fontId="0" fillId="0" borderId="0" xfId="1" applyNumberFormat="1" applyFont="1" applyBorder="1" applyAlignment="1" applyProtection="1">
      <alignment horizontal="center" vertical="center"/>
    </xf>
    <xf numFmtId="1" fontId="16" fillId="0" borderId="11" xfId="0" applyNumberFormat="1" applyFont="1" applyBorder="1" applyAlignment="1" applyProtection="1">
      <alignment horizontal="center" vertical="center" wrapText="1"/>
      <protection locked="0"/>
    </xf>
    <xf numFmtId="1" fontId="0" fillId="0" borderId="0" xfId="0" applyNumberFormat="1" applyAlignment="1">
      <alignment horizontal="right"/>
    </xf>
    <xf numFmtId="1" fontId="13" fillId="2" borderId="1" xfId="3" applyNumberFormat="1" applyFont="1" applyAlignment="1" applyProtection="1">
      <alignment horizontal="center" vertical="center"/>
      <protection locked="0"/>
    </xf>
    <xf numFmtId="9" fontId="0" fillId="0" borderId="0" xfId="1" applyFont="1" applyBorder="1" applyAlignment="1">
      <alignment horizontal="center" vertical="center"/>
    </xf>
    <xf numFmtId="165" fontId="0" fillId="0" borderId="0" xfId="1" applyNumberFormat="1" applyFont="1" applyFill="1" applyBorder="1" applyAlignment="1" applyProtection="1">
      <alignment horizontal="center" vertical="center" wrapText="1"/>
    </xf>
    <xf numFmtId="2" fontId="4" fillId="8" borderId="15" xfId="0" applyNumberFormat="1" applyFont="1" applyFill="1" applyBorder="1" applyAlignment="1">
      <alignment horizontal="center" vertical="center" wrapText="1"/>
    </xf>
    <xf numFmtId="0" fontId="4" fillId="4" borderId="8" xfId="0" applyFont="1" applyFill="1" applyBorder="1" applyAlignment="1">
      <alignment horizontal="center" vertical="center" wrapText="1"/>
    </xf>
    <xf numFmtId="10" fontId="0" fillId="0" borderId="0" xfId="0" applyNumberFormat="1" applyAlignment="1">
      <alignment horizontal="center" vertical="center"/>
    </xf>
    <xf numFmtId="2" fontId="0" fillId="0" borderId="0" xfId="1" applyNumberFormat="1" applyFont="1" applyBorder="1" applyAlignment="1">
      <alignment horizontal="center" vertical="center"/>
    </xf>
    <xf numFmtId="2" fontId="0" fillId="0" borderId="0" xfId="1" applyNumberFormat="1" applyFont="1" applyAlignment="1">
      <alignment horizontal="center" vertical="center"/>
    </xf>
    <xf numFmtId="2" fontId="0" fillId="0" borderId="3" xfId="1" applyNumberFormat="1" applyFont="1" applyBorder="1" applyAlignment="1">
      <alignment horizontal="center" vertical="center"/>
    </xf>
    <xf numFmtId="2" fontId="0" fillId="0" borderId="0" xfId="1" applyNumberFormat="1" applyFont="1" applyFill="1" applyBorder="1" applyAlignment="1" applyProtection="1">
      <alignment horizontal="center" vertical="center" wrapText="1"/>
    </xf>
    <xf numFmtId="2" fontId="4" fillId="10" borderId="8" xfId="1" applyNumberFormat="1" applyFont="1" applyFill="1" applyBorder="1" applyAlignment="1">
      <alignment horizontal="center" vertical="center" wrapText="1"/>
    </xf>
    <xf numFmtId="2" fontId="0" fillId="0" borderId="11" xfId="1" applyNumberFormat="1" applyFont="1" applyFill="1" applyBorder="1" applyAlignment="1" applyProtection="1">
      <alignment horizontal="center" vertical="center" wrapText="1"/>
    </xf>
    <xf numFmtId="1" fontId="16" fillId="0" borderId="11" xfId="0" applyNumberFormat="1" applyFont="1" applyBorder="1" applyAlignment="1">
      <alignment horizontal="center" vertical="center" wrapText="1"/>
    </xf>
    <xf numFmtId="10" fontId="0" fillId="0" borderId="0" xfId="1" applyNumberFormat="1" applyFont="1" applyFill="1" applyBorder="1" applyAlignment="1" applyProtection="1">
      <alignment horizontal="center" vertical="center"/>
    </xf>
    <xf numFmtId="14" fontId="3" fillId="7" borderId="33" xfId="2" applyNumberFormat="1" applyFont="1" applyFill="1" applyBorder="1" applyAlignment="1">
      <alignment horizontal="center" vertical="center" wrapText="1"/>
    </xf>
    <xf numFmtId="10" fontId="0" fillId="0" borderId="0" xfId="1" applyNumberFormat="1" applyFont="1" applyFill="1" applyBorder="1" applyAlignment="1" applyProtection="1">
      <alignment horizontal="center" vertical="center" wrapText="1"/>
    </xf>
    <xf numFmtId="14" fontId="3" fillId="7" borderId="13" xfId="2" applyNumberFormat="1" applyFont="1" applyFill="1" applyBorder="1" applyAlignment="1">
      <alignment horizontal="center" vertical="center" wrapText="1"/>
    </xf>
    <xf numFmtId="0" fontId="0" fillId="0" borderId="0" xfId="0" applyAlignment="1" applyProtection="1">
      <alignment vertical="top" wrapText="1"/>
      <protection locked="0"/>
    </xf>
    <xf numFmtId="0" fontId="6" fillId="0" borderId="0" xfId="0" applyFont="1" applyAlignment="1" applyProtection="1">
      <alignment horizontal="center" vertical="top" wrapText="1"/>
      <protection locked="0"/>
    </xf>
    <xf numFmtId="10" fontId="6" fillId="0" borderId="0" xfId="1" applyNumberFormat="1" applyFont="1" applyBorder="1" applyAlignment="1" applyProtection="1">
      <alignment horizontal="center" vertical="top"/>
      <protection locked="0"/>
    </xf>
    <xf numFmtId="0" fontId="6" fillId="0" borderId="0" xfId="0" applyFont="1" applyAlignment="1" applyProtection="1">
      <alignment vertical="top"/>
      <protection locked="0"/>
    </xf>
    <xf numFmtId="14" fontId="4" fillId="0" borderId="40" xfId="0" applyNumberFormat="1" applyFont="1" applyBorder="1" applyAlignment="1" applyProtection="1">
      <alignment horizontal="center" vertical="top" wrapText="1"/>
      <protection locked="0"/>
    </xf>
    <xf numFmtId="14" fontId="4" fillId="0" borderId="41" xfId="0" applyNumberFormat="1" applyFont="1" applyBorder="1" applyAlignment="1" applyProtection="1">
      <alignment horizontal="center" vertical="top" wrapText="1"/>
      <protection locked="0"/>
    </xf>
    <xf numFmtId="14" fontId="4" fillId="0" borderId="42" xfId="0" applyNumberFormat="1" applyFont="1" applyBorder="1" applyAlignment="1" applyProtection="1">
      <alignment horizontal="center" vertical="top" wrapText="1"/>
      <protection locked="0"/>
    </xf>
    <xf numFmtId="14" fontId="4" fillId="0" borderId="39" xfId="0" applyNumberFormat="1" applyFont="1" applyBorder="1" applyAlignment="1" applyProtection="1">
      <alignment horizontal="center" vertical="top" wrapText="1"/>
      <protection locked="0"/>
    </xf>
    <xf numFmtId="0" fontId="6" fillId="14" borderId="0" xfId="0" applyFont="1" applyFill="1" applyAlignment="1" applyProtection="1">
      <alignment vertical="top"/>
      <protection locked="0"/>
    </xf>
    <xf numFmtId="165" fontId="0" fillId="14" borderId="0" xfId="1" applyNumberFormat="1" applyFont="1" applyFill="1" applyBorder="1" applyAlignment="1">
      <alignment horizontal="center" vertical="center"/>
    </xf>
    <xf numFmtId="2" fontId="0" fillId="0" borderId="11" xfId="1" applyNumberFormat="1" applyFont="1" applyBorder="1" applyAlignment="1">
      <alignment horizontal="center" vertical="center"/>
    </xf>
    <xf numFmtId="2" fontId="0" fillId="0" borderId="0" xfId="1" applyNumberFormat="1" applyFont="1" applyAlignment="1">
      <alignment horizontal="center" vertical="center" wrapText="1"/>
    </xf>
    <xf numFmtId="2" fontId="0" fillId="14" borderId="11" xfId="1" applyNumberFormat="1" applyFont="1" applyFill="1" applyBorder="1" applyAlignment="1">
      <alignment horizontal="center" vertical="center"/>
    </xf>
    <xf numFmtId="9" fontId="0" fillId="0" borderId="0" xfId="0" applyNumberFormat="1" applyAlignment="1">
      <alignment horizontal="center" vertical="center" wrapText="1"/>
    </xf>
    <xf numFmtId="9" fontId="0" fillId="0" borderId="0" xfId="0" applyNumberFormat="1" applyAlignment="1">
      <alignment horizontal="center" vertical="center"/>
    </xf>
    <xf numFmtId="9" fontId="0" fillId="0" borderId="11" xfId="0" applyNumberFormat="1" applyBorder="1" applyAlignment="1">
      <alignment horizontal="center" vertical="center"/>
    </xf>
    <xf numFmtId="2" fontId="0" fillId="0" borderId="0" xfId="0" applyNumberFormat="1" applyAlignment="1">
      <alignment horizontal="center" vertical="center" wrapText="1"/>
    </xf>
    <xf numFmtId="1" fontId="0" fillId="14" borderId="0" xfId="0" applyNumberFormat="1" applyFill="1" applyAlignment="1">
      <alignment horizontal="center" vertical="center"/>
    </xf>
    <xf numFmtId="1" fontId="0" fillId="0" borderId="11" xfId="0" applyNumberFormat="1" applyBorder="1" applyAlignment="1">
      <alignment horizontal="center" vertical="center"/>
    </xf>
    <xf numFmtId="1" fontId="0" fillId="14" borderId="0" xfId="0" applyNumberFormat="1" applyFill="1" applyAlignment="1">
      <alignment horizontal="center" vertical="center" wrapText="1"/>
    </xf>
    <xf numFmtId="1" fontId="0" fillId="0" borderId="0" xfId="0" applyNumberFormat="1" applyAlignment="1">
      <alignment horizontal="center" vertical="center"/>
    </xf>
    <xf numFmtId="1" fontId="0" fillId="0" borderId="11" xfId="1" applyNumberFormat="1" applyFont="1" applyBorder="1" applyAlignment="1">
      <alignment horizontal="center" vertical="center"/>
    </xf>
    <xf numFmtId="1" fontId="0" fillId="0" borderId="3" xfId="1" applyNumberFormat="1" applyFont="1" applyBorder="1" applyAlignment="1">
      <alignment horizontal="center" vertical="center"/>
    </xf>
    <xf numFmtId="1" fontId="0" fillId="14" borderId="0" xfId="1" applyNumberFormat="1" applyFont="1" applyFill="1" applyAlignment="1">
      <alignment horizontal="center" vertical="center" wrapText="1"/>
    </xf>
    <xf numFmtId="1" fontId="0" fillId="14" borderId="0" xfId="1" applyNumberFormat="1" applyFont="1" applyFill="1" applyAlignment="1">
      <alignment horizontal="center" vertical="center"/>
    </xf>
    <xf numFmtId="1" fontId="0" fillId="14" borderId="11" xfId="0" applyNumberFormat="1" applyFill="1" applyBorder="1" applyAlignment="1">
      <alignment horizontal="center" vertical="center"/>
    </xf>
    <xf numFmtId="2" fontId="0" fillId="14" borderId="3" xfId="0" applyNumberFormat="1" applyFill="1" applyBorder="1" applyAlignment="1">
      <alignment horizontal="center" vertical="center"/>
    </xf>
    <xf numFmtId="1" fontId="0" fillId="0" borderId="0" xfId="0" applyNumberFormat="1" applyAlignment="1">
      <alignment horizontal="center" vertical="center" wrapText="1"/>
    </xf>
    <xf numFmtId="1" fontId="0" fillId="0" borderId="0" xfId="1" applyNumberFormat="1" applyFont="1" applyAlignment="1">
      <alignment horizontal="center" vertical="center"/>
    </xf>
    <xf numFmtId="1" fontId="0" fillId="0" borderId="3" xfId="0" applyNumberFormat="1" applyBorder="1" applyAlignment="1">
      <alignment horizontal="center" vertical="center"/>
    </xf>
    <xf numFmtId="1" fontId="0" fillId="14" borderId="3" xfId="0" applyNumberFormat="1" applyFill="1" applyBorder="1" applyAlignment="1">
      <alignment horizontal="center" vertical="center"/>
    </xf>
    <xf numFmtId="1" fontId="0" fillId="0" borderId="0" xfId="1" applyNumberFormat="1" applyFont="1" applyAlignment="1">
      <alignment horizontal="center" vertical="center" wrapText="1"/>
    </xf>
    <xf numFmtId="2" fontId="0" fillId="14" borderId="0" xfId="0" applyNumberFormat="1" applyFill="1" applyAlignment="1">
      <alignment horizontal="center" vertical="center"/>
    </xf>
    <xf numFmtId="9" fontId="0" fillId="0" borderId="3" xfId="0" applyNumberFormat="1" applyBorder="1" applyAlignment="1">
      <alignment horizontal="center" vertical="center"/>
    </xf>
    <xf numFmtId="9" fontId="0" fillId="14" borderId="0" xfId="0" applyNumberFormat="1" applyFill="1" applyAlignment="1">
      <alignment horizontal="center" vertical="center"/>
    </xf>
    <xf numFmtId="2" fontId="0" fillId="14" borderId="11" xfId="0" applyNumberFormat="1" applyFill="1" applyBorder="1" applyAlignment="1">
      <alignment horizontal="center" vertical="center"/>
    </xf>
    <xf numFmtId="2" fontId="0" fillId="14" borderId="3" xfId="0" applyNumberFormat="1" applyFill="1" applyBorder="1" applyAlignment="1">
      <alignment horizontal="center" vertical="center" wrapText="1"/>
    </xf>
    <xf numFmtId="2" fontId="0" fillId="14" borderId="0" xfId="0" applyNumberFormat="1" applyFill="1" applyAlignment="1">
      <alignment horizontal="center" vertical="center" wrapText="1"/>
    </xf>
    <xf numFmtId="1" fontId="6" fillId="15" borderId="11" xfId="0" applyNumberFormat="1" applyFont="1" applyFill="1" applyBorder="1" applyAlignment="1">
      <alignment horizontal="center" vertical="center"/>
    </xf>
    <xf numFmtId="0" fontId="0" fillId="0" borderId="24" xfId="0" applyBorder="1" applyAlignment="1">
      <alignment horizontal="center" vertical="center"/>
    </xf>
    <xf numFmtId="9" fontId="18" fillId="0" borderId="43" xfId="0" applyNumberFormat="1" applyFont="1" applyBorder="1" applyAlignment="1">
      <alignment horizontal="center" vertical="center"/>
    </xf>
    <xf numFmtId="0" fontId="17" fillId="0" borderId="43" xfId="0" applyFont="1" applyBorder="1" applyAlignment="1">
      <alignment horizontal="center" vertical="center" wrapText="1"/>
    </xf>
    <xf numFmtId="9" fontId="17" fillId="0" borderId="44" xfId="0" applyNumberFormat="1" applyFont="1" applyBorder="1" applyAlignment="1">
      <alignment horizontal="center" vertical="center"/>
    </xf>
    <xf numFmtId="3" fontId="17" fillId="0" borderId="43" xfId="0" applyNumberFormat="1" applyFont="1" applyBorder="1" applyAlignment="1">
      <alignment horizontal="center" vertical="center" wrapText="1"/>
    </xf>
    <xf numFmtId="9" fontId="17" fillId="0" borderId="43" xfId="0" applyNumberFormat="1" applyFont="1" applyBorder="1" applyAlignment="1">
      <alignment horizontal="center" vertical="center" wrapText="1"/>
    </xf>
    <xf numFmtId="9" fontId="19" fillId="0" borderId="39" xfId="2" applyNumberFormat="1" applyFont="1" applyBorder="1" applyAlignment="1">
      <alignment horizontal="center" vertical="center" wrapText="1"/>
    </xf>
    <xf numFmtId="9" fontId="2" fillId="0" borderId="43" xfId="0" applyNumberFormat="1" applyFont="1" applyBorder="1" applyAlignment="1">
      <alignment horizontal="center" vertical="center"/>
    </xf>
    <xf numFmtId="0" fontId="2" fillId="0" borderId="43" xfId="0" applyFont="1" applyBorder="1" applyAlignment="1">
      <alignment horizontal="center" vertical="center" wrapText="1"/>
    </xf>
    <xf numFmtId="9" fontId="2" fillId="0" borderId="44" xfId="0" applyNumberFormat="1" applyFont="1" applyBorder="1" applyAlignment="1">
      <alignment horizontal="center" vertical="center"/>
    </xf>
    <xf numFmtId="3" fontId="2" fillId="0" borderId="43" xfId="0" applyNumberFormat="1" applyFont="1" applyBorder="1" applyAlignment="1">
      <alignment horizontal="center" vertical="center" wrapText="1"/>
    </xf>
    <xf numFmtId="9" fontId="2" fillId="0" borderId="43" xfId="0" applyNumberFormat="1" applyFont="1" applyBorder="1" applyAlignment="1">
      <alignment horizontal="center" vertical="center" wrapText="1"/>
    </xf>
    <xf numFmtId="1" fontId="2" fillId="0" borderId="43" xfId="0" applyNumberFormat="1" applyFont="1" applyBorder="1" applyAlignment="1">
      <alignment horizontal="center" vertical="center" wrapText="1"/>
    </xf>
    <xf numFmtId="165" fontId="0" fillId="14" borderId="11" xfId="1" applyNumberFormat="1" applyFont="1" applyFill="1" applyBorder="1" applyAlignment="1">
      <alignment horizontal="center" vertical="center"/>
    </xf>
    <xf numFmtId="165" fontId="0" fillId="14" borderId="0" xfId="1" applyNumberFormat="1" applyFont="1" applyFill="1" applyBorder="1" applyAlignment="1">
      <alignment horizontal="center" vertical="center" wrapText="1"/>
    </xf>
    <xf numFmtId="1" fontId="0" fillId="14" borderId="3" xfId="1" applyNumberFormat="1" applyFont="1" applyFill="1" applyBorder="1" applyAlignment="1">
      <alignment horizontal="center" vertical="center"/>
    </xf>
    <xf numFmtId="2" fontId="0" fillId="14" borderId="3" xfId="1" applyNumberFormat="1" applyFont="1" applyFill="1" applyBorder="1" applyAlignment="1">
      <alignment horizontal="center" vertical="center"/>
    </xf>
    <xf numFmtId="2" fontId="0" fillId="14" borderId="0" xfId="1" applyNumberFormat="1" applyFont="1" applyFill="1" applyAlignment="1">
      <alignment horizontal="center" vertical="center" wrapText="1"/>
    </xf>
    <xf numFmtId="2" fontId="17" fillId="0" borderId="43" xfId="0" applyNumberFormat="1" applyFont="1" applyBorder="1" applyAlignment="1">
      <alignment horizontal="center" vertical="center" wrapText="1"/>
    </xf>
    <xf numFmtId="9" fontId="0" fillId="0" borderId="0" xfId="1" applyFont="1" applyFill="1" applyAlignment="1">
      <alignment horizontal="center" vertical="center"/>
    </xf>
    <xf numFmtId="2" fontId="0" fillId="15" borderId="3" xfId="1" applyNumberFormat="1" applyFont="1" applyFill="1" applyBorder="1" applyAlignment="1" applyProtection="1">
      <alignment horizontal="center" vertical="center" wrapText="1"/>
    </xf>
    <xf numFmtId="2" fontId="6" fillId="14" borderId="0" xfId="0" applyNumberFormat="1" applyFont="1" applyFill="1" applyAlignment="1">
      <alignment horizontal="center" vertical="center"/>
    </xf>
    <xf numFmtId="2" fontId="2" fillId="0" borderId="43" xfId="0" applyNumberFormat="1" applyFont="1" applyBorder="1" applyAlignment="1">
      <alignment horizontal="center" vertical="center" wrapText="1"/>
    </xf>
    <xf numFmtId="0" fontId="0" fillId="0" borderId="0" xfId="1" applyNumberFormat="1" applyFont="1" applyAlignment="1">
      <alignment horizontal="center" vertical="center"/>
    </xf>
    <xf numFmtId="0" fontId="0" fillId="0" borderId="0" xfId="1" applyNumberFormat="1" applyFont="1" applyBorder="1" applyAlignment="1">
      <alignment horizontal="center" vertical="center"/>
    </xf>
    <xf numFmtId="0" fontId="20" fillId="3" borderId="0" xfId="0" applyFont="1" applyFill="1" applyAlignment="1">
      <alignment horizontal="center" vertical="center"/>
    </xf>
    <xf numFmtId="0" fontId="21" fillId="3" borderId="0" xfId="0" applyFont="1" applyFill="1"/>
    <xf numFmtId="0" fontId="22" fillId="6" borderId="45" xfId="0" applyFont="1" applyFill="1" applyBorder="1" applyAlignment="1">
      <alignment horizontal="center" vertical="center" wrapText="1"/>
    </xf>
    <xf numFmtId="0" fontId="22" fillId="6" borderId="15" xfId="0" applyFont="1" applyFill="1" applyBorder="1" applyAlignment="1">
      <alignment horizontal="center" vertical="center" wrapText="1"/>
    </xf>
    <xf numFmtId="0" fontId="22" fillId="6" borderId="8" xfId="0" applyFont="1" applyFill="1" applyBorder="1" applyAlignment="1">
      <alignment horizontal="center" vertical="center" wrapText="1"/>
    </xf>
    <xf numFmtId="0" fontId="22" fillId="6" borderId="46" xfId="0" applyFont="1" applyFill="1" applyBorder="1" applyAlignment="1">
      <alignment horizontal="center" vertical="center" wrapText="1"/>
    </xf>
    <xf numFmtId="0" fontId="22" fillId="6" borderId="30" xfId="0" applyFont="1" applyFill="1" applyBorder="1" applyAlignment="1">
      <alignment horizontal="center" vertical="center" wrapText="1"/>
    </xf>
    <xf numFmtId="0" fontId="22" fillId="6" borderId="47" xfId="0" applyFont="1" applyFill="1" applyBorder="1" applyAlignment="1">
      <alignment horizontal="center" vertical="center" wrapText="1"/>
    </xf>
    <xf numFmtId="0" fontId="22" fillId="10" borderId="30" xfId="0" applyFont="1" applyFill="1" applyBorder="1" applyAlignment="1">
      <alignment horizontal="center" vertical="center" wrapText="1"/>
    </xf>
    <xf numFmtId="0" fontId="21" fillId="0" borderId="3" xfId="0" applyFont="1" applyBorder="1"/>
    <xf numFmtId="14" fontId="21" fillId="0" borderId="3" xfId="0" applyNumberFormat="1" applyFont="1" applyBorder="1"/>
    <xf numFmtId="164" fontId="22" fillId="0" borderId="11" xfId="0" applyNumberFormat="1" applyFont="1" applyBorder="1" applyAlignment="1">
      <alignment horizontal="center" vertical="center" wrapText="1"/>
    </xf>
    <xf numFmtId="0" fontId="21" fillId="0" borderId="0" xfId="0" applyFont="1"/>
    <xf numFmtId="0" fontId="21" fillId="0" borderId="0" xfId="0" applyFont="1" applyAlignment="1">
      <alignment vertical="top" wrapText="1"/>
    </xf>
    <xf numFmtId="0" fontId="21" fillId="0" borderId="0" xfId="0" applyFont="1" applyAlignment="1">
      <alignment wrapText="1"/>
    </xf>
    <xf numFmtId="0" fontId="21" fillId="14" borderId="0" xfId="0" applyFont="1" applyFill="1" applyAlignment="1">
      <alignment vertical="top" wrapText="1"/>
    </xf>
    <xf numFmtId="0" fontId="21" fillId="16" borderId="0" xfId="0" applyFont="1" applyFill="1" applyAlignment="1">
      <alignment wrapText="1"/>
    </xf>
    <xf numFmtId="0" fontId="21" fillId="17" borderId="0" xfId="0" applyFont="1" applyFill="1" applyAlignment="1">
      <alignment wrapText="1"/>
    </xf>
    <xf numFmtId="0" fontId="21" fillId="0" borderId="3" xfId="0" applyFont="1" applyBorder="1" applyAlignment="1">
      <alignment horizontal="center" vertical="center"/>
    </xf>
    <xf numFmtId="14" fontId="21" fillId="0" borderId="3" xfId="0" applyNumberFormat="1"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center" vertical="center" wrapText="1"/>
    </xf>
    <xf numFmtId="0" fontId="21" fillId="16" borderId="0" xfId="0" applyFont="1" applyFill="1" applyAlignment="1">
      <alignment horizontal="center" vertical="center" wrapText="1"/>
    </xf>
    <xf numFmtId="0" fontId="21" fillId="3" borderId="0" xfId="0" applyFont="1" applyFill="1" applyAlignment="1">
      <alignment horizontal="center" vertical="center"/>
    </xf>
    <xf numFmtId="0" fontId="21" fillId="16" borderId="0" xfId="0" applyFont="1" applyFill="1" applyAlignment="1">
      <alignment vertical="top" wrapText="1"/>
    </xf>
    <xf numFmtId="2" fontId="21" fillId="0" borderId="3" xfId="0" applyNumberFormat="1" applyFont="1" applyBorder="1" applyAlignment="1">
      <alignment horizontal="center" vertical="top" wrapText="1"/>
    </xf>
    <xf numFmtId="0" fontId="21" fillId="0" borderId="0" xfId="0" applyFont="1" applyAlignment="1">
      <alignment horizontal="center" vertical="top" wrapText="1"/>
    </xf>
    <xf numFmtId="0" fontId="21" fillId="18" borderId="43" xfId="0" applyFont="1" applyFill="1" applyBorder="1" applyAlignment="1">
      <alignment horizontal="left" vertical="top" wrapText="1"/>
    </xf>
    <xf numFmtId="0" fontId="21" fillId="0" borderId="3" xfId="0" applyFont="1" applyBorder="1" applyAlignment="1">
      <alignment horizontal="center" vertical="center" wrapText="1"/>
    </xf>
    <xf numFmtId="0" fontId="0" fillId="0" borderId="26" xfId="0" pivotButton="1" applyBorder="1" applyAlignment="1">
      <alignment horizontal="center" vertical="center"/>
    </xf>
    <xf numFmtId="0" fontId="0" fillId="0" borderId="36" xfId="0" pivotButton="1" applyBorder="1" applyAlignment="1">
      <alignment horizontal="center" vertical="center"/>
    </xf>
    <xf numFmtId="0" fontId="0" fillId="0" borderId="3" xfId="0" pivotButton="1" applyBorder="1" applyAlignment="1">
      <alignment horizontal="center" vertical="center"/>
    </xf>
    <xf numFmtId="0" fontId="0" fillId="0" borderId="14" xfId="0" pivotButton="1" applyBorder="1" applyAlignment="1">
      <alignment horizontal="center" vertical="center" wrapText="1"/>
    </xf>
    <xf numFmtId="10"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0" xfId="0" applyNumberFormat="1" applyBorder="1" applyAlignment="1">
      <alignment horizontal="center" vertical="center"/>
    </xf>
    <xf numFmtId="0" fontId="0" fillId="0" borderId="11" xfId="0" applyNumberFormat="1" applyBorder="1" applyAlignment="1">
      <alignment horizontal="center" vertical="center"/>
    </xf>
    <xf numFmtId="0" fontId="0" fillId="0" borderId="33" xfId="0" applyNumberFormat="1" applyBorder="1" applyAlignment="1">
      <alignment horizontal="center" vertical="center"/>
    </xf>
    <xf numFmtId="0" fontId="0" fillId="0" borderId="13" xfId="0" applyNumberFormat="1" applyBorder="1" applyAlignment="1">
      <alignment horizontal="center" vertical="center"/>
    </xf>
    <xf numFmtId="0" fontId="4" fillId="25" borderId="7" xfId="0" applyFont="1" applyFill="1" applyBorder="1" applyAlignment="1">
      <alignment horizontal="center" vertical="center" wrapText="1"/>
    </xf>
    <xf numFmtId="0" fontId="4" fillId="25" borderId="9" xfId="0" applyFont="1" applyFill="1" applyBorder="1" applyAlignment="1">
      <alignment horizontal="center" vertical="center" wrapText="1"/>
    </xf>
    <xf numFmtId="0" fontId="5" fillId="25" borderId="9" xfId="0" applyFont="1" applyFill="1" applyBorder="1" applyAlignment="1">
      <alignment horizontal="center" vertical="center" wrapText="1"/>
    </xf>
    <xf numFmtId="0" fontId="4" fillId="25" borderId="6" xfId="0" applyFont="1" applyFill="1" applyBorder="1" applyAlignment="1">
      <alignment horizontal="center" vertical="center" wrapText="1"/>
    </xf>
    <xf numFmtId="49" fontId="4" fillId="11" borderId="7" xfId="1" applyNumberFormat="1" applyFont="1" applyFill="1" applyBorder="1" applyAlignment="1" applyProtection="1">
      <alignment horizontal="center" vertical="center" wrapText="1"/>
    </xf>
    <xf numFmtId="49" fontId="4" fillId="11" borderId="15" xfId="1" applyNumberFormat="1" applyFont="1" applyFill="1" applyBorder="1" applyAlignment="1" applyProtection="1">
      <alignment horizontal="center" vertical="center" wrapText="1"/>
    </xf>
    <xf numFmtId="49" fontId="4" fillId="11" borderId="33" xfId="0" applyNumberFormat="1" applyFont="1" applyFill="1" applyBorder="1" applyAlignment="1">
      <alignment horizontal="center" vertical="center" wrapText="1"/>
    </xf>
    <xf numFmtId="0" fontId="17" fillId="18" borderId="43" xfId="0" applyFont="1" applyFill="1" applyBorder="1" applyAlignment="1">
      <alignment horizontal="center" vertical="center" wrapText="1"/>
    </xf>
    <xf numFmtId="0" fontId="22" fillId="25" borderId="12" xfId="0" applyFont="1" applyFill="1" applyBorder="1" applyAlignment="1">
      <alignment horizontal="center" vertical="center" wrapText="1"/>
    </xf>
    <xf numFmtId="0" fontId="22" fillId="25" borderId="2" xfId="0" applyFont="1" applyFill="1" applyBorder="1" applyAlignment="1">
      <alignment horizontal="center" vertical="center" wrapText="1"/>
    </xf>
    <xf numFmtId="0" fontId="22" fillId="25" borderId="14"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17" xfId="0" applyFont="1" applyFill="1" applyBorder="1" applyAlignment="1">
      <alignment horizontal="center" vertical="center" wrapText="1"/>
    </xf>
    <xf numFmtId="0" fontId="5" fillId="25" borderId="2" xfId="0" applyFont="1" applyFill="1" applyBorder="1" applyAlignment="1">
      <alignment horizontal="center" vertical="center" wrapText="1"/>
    </xf>
    <xf numFmtId="0" fontId="4" fillId="12" borderId="21" xfId="0" applyFont="1" applyFill="1" applyBorder="1" applyAlignment="1">
      <alignment horizontal="center" vertical="center" wrapText="1"/>
    </xf>
    <xf numFmtId="0" fontId="4" fillId="12" borderId="22" xfId="0" applyFont="1" applyFill="1" applyBorder="1" applyAlignment="1">
      <alignment horizontal="center" vertical="center" wrapText="1"/>
    </xf>
    <xf numFmtId="9" fontId="4" fillId="11" borderId="18" xfId="1" applyFont="1" applyFill="1" applyBorder="1" applyAlignment="1">
      <alignment horizontal="center" vertical="center" wrapText="1"/>
    </xf>
    <xf numFmtId="9" fontId="4" fillId="11" borderId="20" xfId="1"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12" borderId="25" xfId="0" applyFont="1" applyFill="1" applyBorder="1" applyAlignment="1">
      <alignment horizontal="center" vertical="center" wrapText="1"/>
    </xf>
    <xf numFmtId="9" fontId="4" fillId="11" borderId="24" xfId="1" applyFont="1" applyFill="1" applyBorder="1" applyAlignment="1">
      <alignment horizontal="center" vertical="center" wrapText="1"/>
    </xf>
    <xf numFmtId="0" fontId="12" fillId="25" borderId="26" xfId="0" applyFont="1" applyFill="1" applyBorder="1" applyAlignment="1">
      <alignment horizontal="center" vertical="center" wrapText="1"/>
    </xf>
    <xf numFmtId="0" fontId="12" fillId="25" borderId="27" xfId="0" applyFont="1" applyFill="1" applyBorder="1" applyAlignment="1">
      <alignment horizontal="center" vertical="center" wrapText="1"/>
    </xf>
    <xf numFmtId="0" fontId="1" fillId="3" borderId="0" xfId="0" applyFont="1" applyFill="1" applyAlignment="1">
      <alignment horizontal="center" vertical="center"/>
    </xf>
    <xf numFmtId="0" fontId="1" fillId="3" borderId="33" xfId="0" applyFont="1" applyFill="1" applyBorder="1" applyAlignment="1">
      <alignment horizontal="center" vertical="center"/>
    </xf>
    <xf numFmtId="14" fontId="3" fillId="25" borderId="26" xfId="2" applyNumberFormat="1" applyFont="1" applyFill="1" applyBorder="1" applyAlignment="1">
      <alignment horizontal="center" vertical="center" wrapText="1"/>
    </xf>
    <xf numFmtId="14" fontId="3" fillId="25" borderId="36" xfId="2" applyNumberFormat="1" applyFont="1" applyFill="1" applyBorder="1" applyAlignment="1">
      <alignment horizontal="center" vertical="center" wrapText="1"/>
    </xf>
    <xf numFmtId="14" fontId="3" fillId="25" borderId="30" xfId="2" applyNumberFormat="1" applyFont="1" applyFill="1" applyBorder="1" applyAlignment="1">
      <alignment horizontal="center" vertical="center" wrapText="1"/>
    </xf>
    <xf numFmtId="14" fontId="3" fillId="25" borderId="12" xfId="2" applyNumberFormat="1" applyFont="1" applyFill="1" applyBorder="1" applyAlignment="1">
      <alignment horizontal="center" vertical="center" wrapText="1"/>
    </xf>
    <xf numFmtId="14" fontId="3" fillId="25" borderId="33" xfId="2" applyNumberFormat="1" applyFont="1" applyFill="1" applyBorder="1" applyAlignment="1">
      <alignment horizontal="center" vertical="center" wrapText="1"/>
    </xf>
    <xf numFmtId="14" fontId="3" fillId="25" borderId="13" xfId="2" applyNumberFormat="1" applyFont="1" applyFill="1" applyBorder="1" applyAlignment="1">
      <alignment horizontal="center" vertical="center" wrapText="1"/>
    </xf>
    <xf numFmtId="1" fontId="3" fillId="7" borderId="7" xfId="2" applyNumberFormat="1" applyFont="1" applyFill="1" applyBorder="1" applyAlignment="1">
      <alignment horizontal="center" vertical="center" wrapText="1"/>
    </xf>
    <xf numFmtId="1" fontId="3" fillId="7" borderId="8" xfId="2" applyNumberFormat="1" applyFont="1" applyFill="1" applyBorder="1" applyAlignment="1">
      <alignment horizontal="center" vertical="center" wrapText="1"/>
    </xf>
    <xf numFmtId="1" fontId="3" fillId="7" borderId="15" xfId="2" applyNumberFormat="1" applyFont="1" applyFill="1" applyBorder="1" applyAlignment="1">
      <alignment horizontal="center" vertical="center" wrapText="1"/>
    </xf>
    <xf numFmtId="1" fontId="3" fillId="6" borderId="7" xfId="2" applyNumberFormat="1" applyFont="1" applyFill="1" applyBorder="1" applyAlignment="1">
      <alignment horizontal="center" vertical="center" wrapText="1"/>
    </xf>
    <xf numFmtId="1" fontId="3" fillId="6" borderId="8" xfId="2" applyNumberFormat="1" applyFont="1" applyFill="1" applyBorder="1" applyAlignment="1">
      <alignment horizontal="center" vertical="center" wrapText="1"/>
    </xf>
    <xf numFmtId="1" fontId="3" fillId="6" borderId="15" xfId="2" applyNumberFormat="1" applyFont="1" applyFill="1" applyBorder="1" applyAlignment="1">
      <alignment horizontal="center" vertical="center" wrapText="1"/>
    </xf>
    <xf numFmtId="14" fontId="3" fillId="7" borderId="26" xfId="2" applyNumberFormat="1" applyFont="1" applyFill="1" applyBorder="1" applyAlignment="1">
      <alignment horizontal="center" vertical="center" wrapText="1"/>
    </xf>
    <xf numFmtId="14" fontId="3" fillId="7" borderId="36" xfId="2" applyNumberFormat="1" applyFont="1" applyFill="1" applyBorder="1" applyAlignment="1">
      <alignment horizontal="center" vertical="center" wrapText="1"/>
    </xf>
    <xf numFmtId="14" fontId="3" fillId="7" borderId="30" xfId="2" applyNumberFormat="1" applyFont="1" applyFill="1" applyBorder="1" applyAlignment="1">
      <alignment horizontal="center" vertical="center" wrapText="1"/>
    </xf>
    <xf numFmtId="14" fontId="3" fillId="4" borderId="26" xfId="2" applyNumberFormat="1" applyFont="1" applyFill="1" applyBorder="1" applyAlignment="1">
      <alignment horizontal="center" vertical="center" wrapText="1"/>
    </xf>
    <xf numFmtId="14" fontId="3" fillId="4" borderId="36" xfId="2" applyNumberFormat="1" applyFont="1" applyFill="1" applyBorder="1" applyAlignment="1">
      <alignment horizontal="center" vertical="center" wrapText="1"/>
    </xf>
    <xf numFmtId="14" fontId="3" fillId="4" borderId="30" xfId="2" applyNumberFormat="1" applyFont="1" applyFill="1" applyBorder="1" applyAlignment="1">
      <alignment horizontal="center" vertical="center" wrapText="1"/>
    </xf>
    <xf numFmtId="14" fontId="3" fillId="4" borderId="12" xfId="2" applyNumberFormat="1" applyFont="1" applyFill="1" applyBorder="1" applyAlignment="1">
      <alignment horizontal="center" vertical="center" wrapText="1"/>
    </xf>
    <xf numFmtId="14" fontId="3" fillId="4" borderId="33" xfId="2" applyNumberFormat="1" applyFont="1" applyFill="1" applyBorder="1" applyAlignment="1">
      <alignment horizontal="center" vertical="center" wrapText="1"/>
    </xf>
    <xf numFmtId="14" fontId="3" fillId="4" borderId="13" xfId="2" applyNumberFormat="1" applyFont="1" applyFill="1" applyBorder="1" applyAlignment="1">
      <alignment horizontal="center" vertical="center" wrapText="1"/>
    </xf>
    <xf numFmtId="14" fontId="7" fillId="19" borderId="7" xfId="2" applyNumberFormat="1" applyFont="1" applyFill="1" applyBorder="1" applyAlignment="1">
      <alignment horizontal="center" vertical="center" wrapText="1"/>
    </xf>
    <xf numFmtId="14" fontId="7" fillId="19" borderId="8" xfId="2" applyNumberFormat="1" applyFont="1" applyFill="1" applyBorder="1" applyAlignment="1">
      <alignment horizontal="center" vertical="center" wrapText="1"/>
    </xf>
    <xf numFmtId="14" fontId="7" fillId="19" borderId="15" xfId="2" applyNumberFormat="1" applyFont="1" applyFill="1" applyBorder="1" applyAlignment="1">
      <alignment horizontal="center" vertical="center" wrapText="1"/>
    </xf>
    <xf numFmtId="0" fontId="15" fillId="20" borderId="3" xfId="0" applyFont="1" applyFill="1" applyBorder="1" applyAlignment="1">
      <alignment horizontal="center" vertical="center" wrapText="1"/>
    </xf>
    <xf numFmtId="0" fontId="15" fillId="20" borderId="0" xfId="0" applyFont="1" applyFill="1" applyAlignment="1">
      <alignment horizontal="center" vertical="center" wrapText="1"/>
    </xf>
    <xf numFmtId="14" fontId="7" fillId="21" borderId="3" xfId="2" applyNumberFormat="1" applyFont="1" applyFill="1" applyBorder="1" applyAlignment="1">
      <alignment horizontal="center" vertical="center" wrapText="1"/>
    </xf>
    <xf numFmtId="14" fontId="7" fillId="21" borderId="0" xfId="2" applyNumberFormat="1" applyFont="1" applyFill="1" applyAlignment="1">
      <alignment horizontal="center" vertical="center" wrapText="1"/>
    </xf>
    <xf numFmtId="0" fontId="15" fillId="22" borderId="7" xfId="0" applyFont="1" applyFill="1" applyBorder="1" applyAlignment="1">
      <alignment horizontal="center" vertical="center" wrapText="1"/>
    </xf>
    <xf numFmtId="0" fontId="15" fillId="22" borderId="8" xfId="0" applyFont="1" applyFill="1" applyBorder="1" applyAlignment="1">
      <alignment horizontal="center" vertical="center" wrapText="1"/>
    </xf>
    <xf numFmtId="0" fontId="15" fillId="22" borderId="15" xfId="0" applyFont="1" applyFill="1" applyBorder="1" applyAlignment="1">
      <alignment horizontal="center" vertical="center" wrapText="1"/>
    </xf>
    <xf numFmtId="14" fontId="7" fillId="23" borderId="7" xfId="2" applyNumberFormat="1" applyFont="1" applyFill="1" applyBorder="1" applyAlignment="1">
      <alignment horizontal="center" vertical="center" wrapText="1"/>
    </xf>
    <xf numFmtId="14" fontId="7" fillId="23" borderId="8" xfId="2" applyNumberFormat="1" applyFont="1" applyFill="1" applyBorder="1" applyAlignment="1">
      <alignment horizontal="center" vertical="center" wrapText="1"/>
    </xf>
    <xf numFmtId="14" fontId="7" fillId="23" borderId="15" xfId="2" applyNumberFormat="1" applyFont="1" applyFill="1" applyBorder="1" applyAlignment="1">
      <alignment horizontal="center" vertical="center" wrapText="1"/>
    </xf>
    <xf numFmtId="0" fontId="15" fillId="24" borderId="7" xfId="0" applyFont="1" applyFill="1" applyBorder="1" applyAlignment="1">
      <alignment horizontal="center" vertical="center" wrapText="1"/>
    </xf>
    <xf numFmtId="0" fontId="15" fillId="24" borderId="8" xfId="0" applyFont="1" applyFill="1" applyBorder="1" applyAlignment="1">
      <alignment horizontal="center" vertical="center" wrapText="1"/>
    </xf>
    <xf numFmtId="0" fontId="15" fillId="24" borderId="15" xfId="0" applyFont="1" applyFill="1" applyBorder="1" applyAlignment="1">
      <alignment horizontal="center" vertical="center" wrapText="1"/>
    </xf>
    <xf numFmtId="1" fontId="22" fillId="7" borderId="7" xfId="2" applyNumberFormat="1" applyFont="1" applyFill="1" applyBorder="1" applyAlignment="1">
      <alignment horizontal="center" vertical="center" wrapText="1"/>
    </xf>
    <xf numFmtId="1" fontId="22" fillId="7" borderId="8" xfId="2" applyNumberFormat="1" applyFont="1" applyFill="1" applyBorder="1" applyAlignment="1">
      <alignment horizontal="center" vertical="center" wrapText="1"/>
    </xf>
    <xf numFmtId="1" fontId="22" fillId="7" borderId="15" xfId="2" applyNumberFormat="1" applyFont="1" applyFill="1" applyBorder="1" applyAlignment="1">
      <alignment horizontal="center" vertical="center" wrapText="1"/>
    </xf>
    <xf numFmtId="14" fontId="22" fillId="7" borderId="26" xfId="2" applyNumberFormat="1" applyFont="1" applyFill="1" applyBorder="1" applyAlignment="1">
      <alignment horizontal="center" vertical="center" wrapText="1"/>
    </xf>
    <xf numFmtId="14" fontId="22" fillId="7" borderId="30" xfId="2" applyNumberFormat="1" applyFont="1" applyFill="1" applyBorder="1" applyAlignment="1">
      <alignment horizontal="center" vertical="center" wrapText="1"/>
    </xf>
    <xf numFmtId="14" fontId="22" fillId="6" borderId="36" xfId="2" applyNumberFormat="1" applyFont="1" applyFill="1" applyBorder="1" applyAlignment="1">
      <alignment horizontal="center" vertical="center" wrapText="1"/>
    </xf>
    <xf numFmtId="14" fontId="22" fillId="6" borderId="30" xfId="2" applyNumberFormat="1" applyFont="1" applyFill="1" applyBorder="1" applyAlignment="1">
      <alignment horizontal="center" vertical="center" wrapText="1"/>
    </xf>
    <xf numFmtId="14" fontId="22" fillId="6" borderId="26" xfId="2" applyNumberFormat="1" applyFont="1" applyFill="1" applyBorder="1" applyAlignment="1">
      <alignment horizontal="center" vertical="center" wrapText="1"/>
    </xf>
    <xf numFmtId="0" fontId="20" fillId="3" borderId="0" xfId="0" applyFont="1" applyFill="1" applyAlignment="1">
      <alignment horizontal="center" vertical="center"/>
    </xf>
    <xf numFmtId="1" fontId="22" fillId="6" borderId="7" xfId="2" applyNumberFormat="1" applyFont="1" applyFill="1" applyBorder="1" applyAlignment="1">
      <alignment horizontal="center" vertical="center" wrapText="1"/>
    </xf>
    <xf numFmtId="1" fontId="22" fillId="6" borderId="8" xfId="2" applyNumberFormat="1" applyFont="1" applyFill="1" applyBorder="1" applyAlignment="1">
      <alignment horizontal="center" vertical="center" wrapText="1"/>
    </xf>
    <xf numFmtId="1" fontId="22" fillId="6" borderId="15" xfId="2" applyNumberFormat="1" applyFont="1" applyFill="1" applyBorder="1" applyAlignment="1">
      <alignment horizontal="center" vertical="center" wrapText="1"/>
    </xf>
    <xf numFmtId="14" fontId="22" fillId="25" borderId="26" xfId="2" applyNumberFormat="1" applyFont="1" applyFill="1" applyBorder="1" applyAlignment="1">
      <alignment horizontal="center" vertical="center" wrapText="1"/>
    </xf>
    <xf numFmtId="14" fontId="22" fillId="25" borderId="36" xfId="2" applyNumberFormat="1" applyFont="1" applyFill="1" applyBorder="1" applyAlignment="1">
      <alignment horizontal="center" vertical="center" wrapText="1"/>
    </xf>
    <xf numFmtId="14" fontId="22" fillId="25" borderId="30" xfId="2" applyNumberFormat="1" applyFont="1" applyFill="1" applyBorder="1" applyAlignment="1">
      <alignment horizontal="center" vertical="center" wrapText="1"/>
    </xf>
    <xf numFmtId="14" fontId="22" fillId="25" borderId="3" xfId="2" applyNumberFormat="1" applyFont="1" applyFill="1" applyBorder="1" applyAlignment="1">
      <alignment horizontal="center" vertical="center" wrapText="1"/>
    </xf>
    <xf numFmtId="14" fontId="22" fillId="25" borderId="0" xfId="2" applyNumberFormat="1" applyFont="1" applyFill="1" applyAlignment="1">
      <alignment horizontal="center" vertical="center" wrapText="1"/>
    </xf>
    <xf numFmtId="14" fontId="22" fillId="25" borderId="11" xfId="2" applyNumberFormat="1" applyFont="1" applyFill="1" applyBorder="1" applyAlignment="1">
      <alignment horizontal="center" vertical="center" wrapText="1"/>
    </xf>
    <xf numFmtId="14" fontId="22" fillId="25" borderId="12" xfId="2" applyNumberFormat="1" applyFont="1" applyFill="1" applyBorder="1" applyAlignment="1">
      <alignment horizontal="center" vertical="center" wrapText="1"/>
    </xf>
    <xf numFmtId="14" fontId="22" fillId="25" borderId="33" xfId="2" applyNumberFormat="1" applyFont="1" applyFill="1" applyBorder="1" applyAlignment="1">
      <alignment horizontal="center" vertical="center" wrapText="1"/>
    </xf>
    <xf numFmtId="14" fontId="22" fillId="25" borderId="13" xfId="2" applyNumberFormat="1" applyFont="1" applyFill="1" applyBorder="1" applyAlignment="1">
      <alignment horizontal="center" vertical="center" wrapText="1"/>
    </xf>
    <xf numFmtId="14" fontId="22" fillId="7" borderId="12" xfId="2" applyNumberFormat="1" applyFont="1" applyFill="1" applyBorder="1" applyAlignment="1">
      <alignment horizontal="center" vertical="center"/>
    </xf>
    <xf numFmtId="14" fontId="22" fillId="7" borderId="33" xfId="2" applyNumberFormat="1" applyFont="1" applyFill="1" applyBorder="1" applyAlignment="1">
      <alignment horizontal="center" vertical="center"/>
    </xf>
    <xf numFmtId="0" fontId="10" fillId="25" borderId="48" xfId="0" applyFont="1" applyFill="1" applyBorder="1" applyAlignment="1">
      <alignment horizontal="center" vertical="center" wrapText="1"/>
    </xf>
    <xf numFmtId="0" fontId="10" fillId="25" borderId="49" xfId="0" applyFont="1" applyFill="1" applyBorder="1" applyAlignment="1">
      <alignment horizontal="center" vertical="center" wrapText="1"/>
    </xf>
    <xf numFmtId="0" fontId="9" fillId="23" borderId="7" xfId="0" applyFont="1" applyFill="1" applyBorder="1" applyAlignment="1">
      <alignment horizontal="center" vertical="center" wrapText="1"/>
    </xf>
    <xf numFmtId="0" fontId="9" fillId="23" borderId="15" xfId="0" applyFont="1" applyFill="1" applyBorder="1" applyAlignment="1">
      <alignment horizontal="center" vertical="center" wrapText="1"/>
    </xf>
    <xf numFmtId="0" fontId="9" fillId="21" borderId="7" xfId="0" applyFont="1" applyFill="1" applyBorder="1" applyAlignment="1">
      <alignment horizontal="center" vertical="center" wrapText="1"/>
    </xf>
    <xf numFmtId="0" fontId="9" fillId="21" borderId="15" xfId="0" applyFont="1" applyFill="1" applyBorder="1" applyAlignment="1">
      <alignment horizontal="center" vertical="center" wrapText="1"/>
    </xf>
    <xf numFmtId="0" fontId="10" fillId="19" borderId="48" xfId="0" applyFont="1" applyFill="1" applyBorder="1" applyAlignment="1">
      <alignment horizontal="center" vertical="center" wrapText="1"/>
    </xf>
    <xf numFmtId="0" fontId="10" fillId="19" borderId="50" xfId="0" applyFont="1" applyFill="1" applyBorder="1" applyAlignment="1">
      <alignment horizontal="center" vertical="center" wrapText="1"/>
    </xf>
    <xf numFmtId="0" fontId="14" fillId="9" borderId="7" xfId="0" applyFont="1" applyFill="1" applyBorder="1" applyAlignment="1" applyProtection="1">
      <alignment horizontal="center" vertical="center" wrapText="1"/>
      <protection locked="0"/>
    </xf>
    <xf numFmtId="0" fontId="14" fillId="9" borderId="8" xfId="0" applyFont="1" applyFill="1" applyBorder="1" applyAlignment="1" applyProtection="1">
      <alignment horizontal="center" vertical="center" wrapText="1"/>
      <protection locked="0"/>
    </xf>
    <xf numFmtId="0" fontId="14" fillId="9" borderId="15" xfId="0" applyFont="1" applyFill="1" applyBorder="1" applyAlignment="1" applyProtection="1">
      <alignment horizontal="center" vertical="center" wrapText="1"/>
      <protection locked="0"/>
    </xf>
    <xf numFmtId="0" fontId="14" fillId="9" borderId="7" xfId="0" applyFont="1" applyFill="1" applyBorder="1" applyAlignment="1" applyProtection="1">
      <alignment horizontal="center" vertical="center"/>
      <protection locked="0"/>
    </xf>
    <xf numFmtId="0" fontId="14" fillId="9" borderId="15" xfId="0" applyFont="1" applyFill="1" applyBorder="1" applyAlignment="1" applyProtection="1">
      <alignment horizontal="center" vertical="center"/>
      <protection locked="0"/>
    </xf>
    <xf numFmtId="0" fontId="14" fillId="9" borderId="8" xfId="0" applyFont="1" applyFill="1" applyBorder="1" applyAlignment="1" applyProtection="1">
      <alignment horizontal="center" vertical="center"/>
      <protection locked="0"/>
    </xf>
    <xf numFmtId="0" fontId="14" fillId="9" borderId="26" xfId="0" applyFont="1" applyFill="1" applyBorder="1" applyAlignment="1" applyProtection="1">
      <alignment horizontal="center" vertical="center" wrapText="1"/>
      <protection locked="0"/>
    </xf>
    <xf numFmtId="0" fontId="14" fillId="9" borderId="30" xfId="0" applyFont="1" applyFill="1" applyBorder="1" applyAlignment="1" applyProtection="1">
      <alignment horizontal="center" vertical="center" wrapText="1"/>
      <protection locked="0"/>
    </xf>
    <xf numFmtId="0" fontId="14" fillId="9" borderId="12" xfId="0" applyFont="1" applyFill="1" applyBorder="1" applyAlignment="1" applyProtection="1">
      <alignment horizontal="center" vertical="center" wrapText="1"/>
      <protection locked="0"/>
    </xf>
    <xf numFmtId="0" fontId="14" fillId="9" borderId="13" xfId="0" applyFont="1" applyFill="1" applyBorder="1" applyAlignment="1" applyProtection="1">
      <alignment horizontal="center" vertical="center" wrapText="1"/>
      <protection locked="0"/>
    </xf>
    <xf numFmtId="0" fontId="14" fillId="9" borderId="51"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cellXfs>
  <cellStyles count="4">
    <cellStyle name="Entrada" xfId="3" builtinId="20"/>
    <cellStyle name="Normal" xfId="0" builtinId="0"/>
    <cellStyle name="Normal 2" xfId="2" xr:uid="{00000000-0005-0000-0000-000006000000}"/>
    <cellStyle name="Porcentaje" xfId="1" builtinId="5"/>
  </cellStyles>
  <dxfs count="494">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border>
        <left style="medium">
          <color auto="1"/>
        </left>
        <right style="medium">
          <color auto="1"/>
        </right>
        <top style="medium">
          <color auto="1"/>
        </top>
        <bottom style="medium">
          <color auto="1"/>
        </bottom>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border>
        <left style="medium">
          <color auto="1"/>
        </left>
        <right style="medium">
          <color auto="1"/>
        </right>
        <top style="medium">
          <color auto="1"/>
        </top>
        <bottom style="medium">
          <color auto="1"/>
        </bottom>
      </border>
    </dxf>
    <dxf>
      <numFmt numFmtId="14" formatCode="0.00%"/>
    </dxf>
    <dxf>
      <numFmt numFmtId="167" formatCode="_(* #,##0.00_);_(* \(#,##0.00\);_(* &quot;-&quot;??_);_(@_)"/>
    </dxf>
    <dxf>
      <numFmt numFmtId="14" formatCode="0.00%"/>
    </dxf>
    <dxf>
      <alignment wrapText="1"/>
    </dxf>
    <dxf>
      <alignment wrapText="1"/>
    </dxf>
    <dxf>
      <alignment wrapText="1"/>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rder>
    </dxf>
    <dxf>
      <border>
        <left style="medium">
          <color auto="1"/>
        </left>
        <right style="medium">
          <color auto="1"/>
        </right>
      </border>
    </dxf>
    <dxf>
      <border>
        <top style="medium">
          <color auto="1"/>
        </top>
      </border>
    </dxf>
    <dxf>
      <border>
        <top style="medium">
          <color auto="1"/>
        </top>
      </border>
    </dxf>
    <dxf>
      <numFmt numFmtId="14" formatCode="0.00%"/>
    </dxf>
    <dxf>
      <alignment wrapText="1"/>
    </dxf>
    <dxf>
      <numFmt numFmtId="14" formatCode="0.00%"/>
    </dxf>
    <dxf>
      <border>
        <bottom style="medium">
          <color auto="1"/>
        </bottom>
      </bord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border>
        <bottom style="medium">
          <color auto="1"/>
        </bottom>
      </border>
    </dxf>
    <dxf>
      <numFmt numFmtId="14" formatCode="0.00%"/>
    </dxf>
    <dxf>
      <numFmt numFmtId="165" formatCode="0.0%"/>
      <alignment horizontal="center" vertical="center" textRotation="0" wrapText="1" indent="0" shrinkToFit="0" readingOrder="0"/>
      <protection locked="0" hidden="1"/>
    </dxf>
    <dxf>
      <numFmt numFmtId="165" formatCode="0.0%"/>
      <alignment horizontal="center" vertical="center" textRotation="0" wrapText="1" indent="0" shrinkToFit="0" readingOrder="0"/>
      <protection locked="0" hidden="1"/>
    </dxf>
    <dxf>
      <numFmt numFmtId="165" formatCode="0.0%"/>
      <alignment horizontal="center" vertical="center" textRotation="0" wrapText="1" indent="0" shrinkToFit="0" readingOrder="0"/>
      <protection locked="0" hidden="1"/>
    </dxf>
    <dxf>
      <numFmt numFmtId="165" formatCode="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alignment horizontal="center" vertical="center" textRotation="0" wrapText="1" indent="0" shrinkToFit="0" readingOrder="0"/>
      <protection locked="0" hidden="1"/>
    </dxf>
    <dxf>
      <alignment horizontal="center" vertical="center" textRotation="0" wrapText="1" indent="0" shrinkToFit="0" readingOrder="0"/>
      <protection locked="0" hidden="1"/>
    </dxf>
    <dxf>
      <border>
        <left style="medium">
          <color auto="1"/>
        </left>
        <right style="medium">
          <color auto="1"/>
        </right>
        <top style="medium">
          <color auto="1"/>
        </top>
        <bottom style="medium">
          <color auto="1"/>
        </bottom>
      </border>
    </dxf>
    <dxf>
      <alignment horizontal="center" vertical="center" textRotation="0" wrapText="1" indent="0" shrinkToFit="0" readingOrder="0"/>
      <protection locked="0" hidden="1"/>
    </dxf>
    <dxf>
      <border>
        <bottom style="medium">
          <color auto="1"/>
        </bottom>
      </border>
    </dxf>
    <dxf>
      <font>
        <b/>
        <i val="0"/>
        <strike val="0"/>
        <u val="none"/>
        <sz val="11"/>
        <color theme="1"/>
        <name val="Calibri"/>
      </font>
      <fill>
        <patternFill patternType="solid">
          <fgColor indexed="65"/>
          <bgColor theme="2" tint="-0.24994659260841701"/>
        </patternFill>
      </fill>
      <alignment horizontal="center" vertical="center" textRotation="0" wrapText="1" indent="0" shrinkToFit="0" readingOrder="0"/>
      <border>
        <left style="thin">
          <color auto="1"/>
        </left>
        <right style="thin">
          <color auto="1"/>
        </right>
        <top/>
        <bottom/>
      </border>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numFmt numFmtId="14" formatCode="0.00%"/>
      <alignment horizontal="center" vertical="center" textRotation="0" wrapText="1" indent="0" shrinkToFit="0" readingOrder="0"/>
      <protection locked="0" hidden="1"/>
    </dxf>
    <dxf>
      <alignment horizontal="center" vertical="center" textRotation="0" wrapText="1" indent="0" shrinkToFit="0" readingOrder="0"/>
      <protection locked="0" hidden="1"/>
    </dxf>
    <dxf>
      <alignment horizontal="center" vertical="center" textRotation="0" wrapText="1" indent="0" shrinkToFit="0" readingOrder="0"/>
      <protection locked="0" hidden="1"/>
    </dxf>
    <dxf>
      <border>
        <left style="medium">
          <color auto="1"/>
        </left>
        <right style="medium">
          <color auto="1"/>
        </right>
        <top style="medium">
          <color auto="1"/>
        </top>
        <bottom style="medium">
          <color auto="1"/>
        </bottom>
      </border>
    </dxf>
    <dxf>
      <alignment horizontal="center" vertical="center" textRotation="0" wrapText="1" indent="0" shrinkToFit="0" readingOrder="0"/>
      <protection locked="0" hidden="1"/>
    </dxf>
    <dxf>
      <border>
        <bottom style="medium">
          <color auto="1"/>
        </bottom>
      </border>
    </dxf>
    <dxf>
      <font>
        <b/>
        <i val="0"/>
        <strike val="0"/>
        <u val="none"/>
        <sz val="11"/>
        <color theme="1"/>
        <name val="Calibri"/>
      </font>
      <fill>
        <patternFill patternType="solid">
          <fgColor indexed="65"/>
          <bgColor theme="2" tint="-0.24994659260841701"/>
        </patternFill>
      </fill>
      <alignment horizontal="center" vertical="center" textRotation="0" wrapText="1" indent="0" shrinkToFit="0" readingOrder="0"/>
      <border>
        <left style="thin">
          <color auto="1"/>
        </left>
        <right style="thin">
          <color auto="1"/>
        </right>
        <top/>
        <bottom/>
      </border>
      <protection locked="0" hidden="1"/>
    </dxf>
    <dxf>
      <numFmt numFmtId="14" formatCode="0.00%"/>
    </dxf>
    <dxf>
      <border>
        <bottom style="medium">
          <color auto="1"/>
        </bottom>
      </bord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border>
        <bottom style="medium">
          <color auto="1"/>
        </bottom>
      </border>
    </dxf>
    <dxf>
      <numFmt numFmtId="14" formatCode="0.00%"/>
    </dxf>
    <dxf>
      <alignment wrapText="1"/>
    </dxf>
    <dxf>
      <numFmt numFmtId="14" formatCode="0.00%"/>
    </dxf>
    <dxf>
      <border>
        <top style="medium">
          <color auto="1"/>
        </top>
      </border>
    </dxf>
    <dxf>
      <border>
        <top style="medium">
          <color auto="1"/>
        </top>
      </border>
    </dxf>
    <dxf>
      <border>
        <left style="medium">
          <color auto="1"/>
        </left>
        <right style="medium">
          <color auto="1"/>
        </right>
      </border>
    </dxf>
    <dxf>
      <border>
        <left style="medium">
          <color auto="1"/>
        </left>
        <right style="medium">
          <color auto="1"/>
        </right>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border>
        <left style="medium">
          <color auto="1"/>
        </left>
        <right style="medium">
          <color auto="1"/>
        </right>
        <bottom style="medium">
          <color auto="1"/>
        </bottom>
      </border>
    </dxf>
    <dxf>
      <alignment wrapText="1"/>
    </dxf>
    <dxf>
      <alignment wrapText="1"/>
    </dxf>
    <dxf>
      <alignment wrapText="1"/>
    </dxf>
    <dxf>
      <numFmt numFmtId="14" formatCode="0.00%"/>
    </dxf>
    <dxf>
      <numFmt numFmtId="167" formatCode="_(* #,##0.00_);_(* \(#,##0.00\);_(* &quot;-&quot;??_);_(@_)"/>
    </dxf>
    <dxf>
      <numFmt numFmtId="14" formatCode="0.00%"/>
    </dxf>
    <dxf>
      <border>
        <left style="medium">
          <color auto="1"/>
        </left>
        <right style="medium">
          <color auto="1"/>
        </right>
        <top style="medium">
          <color auto="1"/>
        </top>
        <bottom style="medium">
          <color auto="1"/>
        </bottom>
      </bord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left style="medium">
          <color auto="1"/>
        </left>
        <right style="medium">
          <color auto="1"/>
        </right>
        <top style="medium">
          <color auto="1"/>
        </top>
        <bottom style="medium">
          <color auto="1"/>
        </bottom>
      </bord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indent="0" shrinkToFit="0" readingOrder="0"/>
      <border>
        <left style="medium">
          <color auto="1"/>
        </left>
      </border>
    </dxf>
    <dxf>
      <numFmt numFmtId="14" formatCode="0.00%"/>
      <fill>
        <patternFill patternType="none">
          <fgColor indexed="64"/>
          <bgColor indexed="65"/>
        </patternFill>
      </fill>
      <alignment horizontal="center" vertical="center" textRotation="0" indent="0" shrinkToFit="0" readingOrder="0"/>
    </dxf>
    <dxf>
      <numFmt numFmtId="165" formatCode="0.0%"/>
      <fill>
        <patternFill patternType="none">
          <fgColor indexed="64"/>
          <bgColor indexed="65"/>
        </patternFill>
      </fill>
      <alignment horizontal="center" vertical="center" textRotation="0" indent="0" shrinkToFit="0" readingOrder="0"/>
      <border>
        <left style="medium">
          <color auto="1"/>
        </left>
      </border>
    </dxf>
    <dxf>
      <font>
        <b val="0"/>
        <i val="0"/>
        <strike val="0"/>
        <u val="none"/>
        <sz val="11"/>
        <color theme="1"/>
        <name val="Calibri"/>
      </font>
      <numFmt numFmtId="14" formatCode="0.00%"/>
      <fill>
        <patternFill patternType="none">
          <fgColor indexed="64"/>
          <bgColor indexed="65"/>
        </patternFill>
      </fill>
      <alignment horizontal="center" vertical="center" textRotation="0" wrapText="0" indent="0" shrinkToFit="0" readingOrder="0"/>
      <border>
        <left/>
        <right style="medium">
          <color auto="1"/>
        </right>
        <top/>
        <bottom/>
        <vertical/>
        <horizontal/>
      </border>
    </dxf>
    <dxf>
      <font>
        <b val="0"/>
        <i val="0"/>
        <strike val="0"/>
        <u val="none"/>
        <sz val="11"/>
        <color theme="1"/>
        <name val="Calibri"/>
      </font>
      <numFmt numFmtId="165" formatCode="0.0%"/>
      <fill>
        <patternFill patternType="none">
          <fgColor indexed="64"/>
          <bgColor indexed="65"/>
        </patternFill>
      </fill>
      <alignment horizontal="center" vertical="center" textRotation="0" wrapText="0" indent="0" shrinkToFit="0" readingOrder="0"/>
      <border>
        <left style="medium">
          <color auto="1"/>
        </left>
        <right/>
        <top/>
        <bottom/>
        <vertical/>
        <horizontal/>
      </border>
    </dxf>
    <dxf>
      <numFmt numFmtId="14" formatCode="0.00%"/>
      <fill>
        <patternFill patternType="none">
          <fgColor indexed="64"/>
          <bgColor indexed="65"/>
        </patternFill>
      </fill>
      <alignment horizontal="center" vertical="center" textRotation="0" wrapText="0" indent="0" shrinkToFit="0" readingOrder="0"/>
    </dxf>
    <dxf>
      <numFmt numFmtId="165" formatCode="0.0%"/>
      <fill>
        <patternFill patternType="none">
          <fgColor indexed="64"/>
          <bgColor indexed="65"/>
        </patternFill>
      </fill>
      <alignment horizontal="center" vertical="center" textRotation="0" wrapText="0" indent="0" shrinkToFit="0" readingOrder="0"/>
      <border>
        <left style="medium">
          <color auto="1"/>
        </left>
        <right/>
        <top/>
        <bottom/>
      </border>
    </dxf>
    <dxf>
      <numFmt numFmtId="0" formatCode="General"/>
      <fill>
        <patternFill patternType="none">
          <fgColor indexed="64"/>
          <bgColor indexed="65"/>
        </patternFill>
      </fill>
      <alignment horizontal="center" vertical="center" textRotation="0" indent="0" shrinkToFit="0" readingOrder="0"/>
    </dxf>
    <dxf>
      <numFmt numFmtId="165" formatCode="0.0%"/>
      <fill>
        <patternFill patternType="none">
          <fgColor indexed="64"/>
          <bgColor indexed="65"/>
        </patternFill>
      </fill>
      <alignment horizontal="center" vertical="center" textRotation="0" wrapText="0" indent="0" shrinkToFit="0" readingOrder="0"/>
      <border>
        <left style="medium">
          <color auto="1"/>
        </left>
      </border>
    </dxf>
    <dxf>
      <numFmt numFmtId="0" formatCode="General"/>
      <alignment horizontal="center" vertical="center" textRotation="0" wrapText="0" indent="0" shrinkToFit="0" readingOrder="0"/>
    </dxf>
    <dxf>
      <numFmt numFmtId="165" formatCode="0.0%"/>
      <fill>
        <patternFill patternType="none">
          <fgColor indexed="64"/>
          <bgColor indexed="65"/>
        </patternFill>
      </fill>
      <alignment horizontal="center" vertical="center" textRotation="0" wrapText="0" indent="0" shrinkToFit="0" readingOrder="0"/>
      <border>
        <left style="medium">
          <color auto="1"/>
        </left>
        <right/>
        <top/>
        <bottom/>
        <vertical/>
        <horizontal/>
      </border>
    </dxf>
    <dxf>
      <numFmt numFmtId="0" formatCode="General"/>
      <fill>
        <patternFill patternType="none">
          <fgColor indexed="64"/>
          <bgColor indexed="65"/>
        </patternFill>
      </fill>
      <alignment horizontal="center" vertical="center" textRotation="0" indent="0" shrinkToFit="0" readingOrder="0"/>
      <border>
        <left/>
        <right style="medium">
          <color auto="1"/>
        </right>
      </border>
    </dxf>
    <dxf>
      <numFmt numFmtId="165" formatCode="0.0%"/>
      <fill>
        <patternFill patternType="none">
          <fgColor indexed="64"/>
          <bgColor indexed="65"/>
        </patternFill>
      </fill>
      <alignment horizontal="center" vertical="center" textRotation="0" wrapText="0" indent="0" shrinkToFit="0" readingOrder="0"/>
      <border>
        <left style="medium">
          <color auto="1"/>
        </left>
      </border>
    </dxf>
    <dxf>
      <numFmt numFmtId="14" formatCode="0.00%"/>
      <fill>
        <patternFill patternType="none">
          <fgColor indexed="64"/>
          <bgColor indexed="65"/>
        </patternFill>
      </fill>
      <alignment horizontal="center" vertical="center" textRotation="0" wrapText="0" indent="0" shrinkToFit="0" readingOrder="0"/>
      <border>
        <left/>
        <right style="medium">
          <color auto="1"/>
        </right>
      </border>
    </dxf>
    <dxf>
      <numFmt numFmtId="0" formatCode="General"/>
      <fill>
        <patternFill patternType="none">
          <fgColor indexed="64"/>
          <bgColor indexed="65"/>
        </patternFill>
      </fill>
      <alignment horizontal="center" vertical="center" textRotation="0" wrapText="1" indent="0" shrinkToFit="0" readingOrder="0"/>
    </dxf>
    <dxf>
      <numFmt numFmtId="0" formatCode="General"/>
      <fill>
        <patternFill patternType="none">
          <fgColor indexed="64"/>
          <bgColor indexed="65"/>
        </patternFill>
      </fill>
      <alignment horizontal="center" vertical="center" textRotation="0" wrapText="1" indent="0" shrinkToFit="0" readingOrder="0"/>
    </dxf>
    <dxf>
      <numFmt numFmtId="0" formatCode="General"/>
      <fill>
        <patternFill patternType="none">
          <fgColor indexed="64"/>
          <bgColor indexed="65"/>
        </patternFill>
      </fill>
      <alignment horizontal="center" vertical="center" textRotation="0" indent="0" shrinkToFit="0" readingOrder="0"/>
    </dxf>
    <dxf>
      <numFmt numFmtId="0" formatCode="General"/>
      <fill>
        <patternFill patternType="none">
          <fgColor indexed="64"/>
          <bgColor indexed="65"/>
        </patternFill>
      </fill>
      <alignment horizontal="center" vertical="center" textRotation="0" indent="0" shrinkToFit="0" readingOrder="0"/>
    </dxf>
    <dxf>
      <border>
        <top style="medium">
          <color auto="1"/>
        </top>
      </border>
    </dxf>
    <dxf>
      <fill>
        <patternFill patternType="none">
          <fgColor indexed="64"/>
          <bgColor indexed="65"/>
        </patternFill>
      </fill>
      <alignment horizontal="center" vertical="center" textRotation="0" indent="0" shrinkToFit="0" readingOrder="0"/>
    </dxf>
    <dxf>
      <alignment horizontal="center" vertical="center" textRotation="0" indent="0" shrinkToFit="0" readingOrder="0"/>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0000"/>
        </patternFill>
      </fill>
    </dxf>
    <dxf>
      <font>
        <strike val="0"/>
        <u val="none"/>
        <sz val="14"/>
        <name val="Times New Roman"/>
        <family val="1"/>
      </font>
      <fill>
        <patternFill patternType="none">
          <fgColor indexed="64"/>
          <bgColor indexed="65"/>
        </patternFill>
      </fill>
      <alignment horizontal="general" vertical="top"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bottom"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top"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alignment horizontal="general" vertical="top" textRotation="0" wrapText="1" indent="0" shrinkToFit="0" readingOrder="0"/>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alignment horizontal="general" vertical="bottom" textRotation="0" wrapText="0" indent="0" shrinkToFit="0" readingOrder="0"/>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solid">
          <fgColor indexed="65"/>
          <bgColor theme="0" tint="-0.34995574816125979"/>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font>
        <strike val="0"/>
        <u val="none"/>
        <sz val="14"/>
        <name val="Times New Roman"/>
        <family val="1"/>
      </font>
      <fill>
        <patternFill patternType="none">
          <fgColor indexed="64"/>
          <bgColor indexed="65"/>
        </patternFill>
      </fill>
    </dxf>
    <dxf>
      <fill>
        <patternFill patternType="none">
          <fgColor indexed="64"/>
          <bgColor indexed="65"/>
        </patternFill>
      </fill>
    </dxf>
    <dxf>
      <border>
        <top style="medium">
          <color auto="1"/>
        </top>
      </border>
    </dxf>
    <dxf>
      <font>
        <strike val="0"/>
        <u val="none"/>
        <sz val="14"/>
        <name val="Times New Roman"/>
        <family val="1"/>
      </font>
      <fill>
        <patternFill patternType="none">
          <fgColor indexed="64"/>
          <bgColor indexed="65"/>
        </patternFill>
      </fill>
    </dxf>
    <dxf>
      <font>
        <strike val="0"/>
        <u val="none"/>
        <sz val="14"/>
        <name val="Times New Roman"/>
        <family val="1"/>
      </font>
      <fill>
        <patternFill patternType="none">
          <fgColor indexed="64"/>
          <bgColor indexed="65"/>
        </patternFill>
      </fill>
    </dxf>
    <dxf>
      <font>
        <strike val="0"/>
        <u val="none"/>
        <sz val="14"/>
        <name val="Times New Roman"/>
        <family val="1"/>
      </font>
      <fill>
        <patternFill patternType="solid">
          <fgColor indexed="65"/>
          <bgColor theme="0" tint="-0.34995574816125979"/>
        </patternFill>
      </fill>
    </dxf>
    <dxf>
      <font>
        <b/>
        <strike val="0"/>
        <u val="none"/>
        <sz val="14"/>
        <color auto="1"/>
        <name val="Times New Roman"/>
        <family val="1"/>
      </font>
      <numFmt numFmtId="164" formatCode="dd\ mmmm\ yyyy"/>
      <fill>
        <patternFill patternType="none">
          <fgColor indexed="64"/>
          <bgColor indexed="65"/>
        </patternFill>
      </fill>
      <alignment horizontal="center" vertical="center" textRotation="0" wrapText="1" indent="0" shrinkToFit="0" readingOrder="0"/>
      <border>
        <left/>
        <right style="medium">
          <color auto="1"/>
        </right>
        <top/>
        <bottom/>
      </border>
    </dxf>
    <dxf>
      <font>
        <strike val="0"/>
        <u val="none"/>
        <sz val="14"/>
        <color auto="1"/>
        <name val="Times New Roman"/>
        <family val="1"/>
      </font>
      <numFmt numFmtId="19" formatCode="d/mm/yyyy"/>
      <fill>
        <patternFill patternType="none">
          <fgColor indexed="64"/>
          <bgColor indexed="65"/>
        </patternFill>
      </fill>
    </dxf>
    <dxf>
      <font>
        <strike val="0"/>
        <u val="none"/>
        <sz val="14"/>
        <color auto="1"/>
        <name val="Times New Roman"/>
        <family val="1"/>
      </font>
      <numFmt numFmtId="19" formatCode="d/mm/yyyy"/>
      <fill>
        <patternFill patternType="none">
          <fgColor indexed="64"/>
          <bgColor indexed="65"/>
        </patternFill>
      </fill>
      <border>
        <right style="medium">
          <color auto="1"/>
        </right>
      </border>
    </dxf>
    <dxf>
      <font>
        <strike val="0"/>
        <u val="none"/>
        <sz val="14"/>
        <color auto="1"/>
        <name val="Times New Roman"/>
        <family val="1"/>
      </font>
      <fill>
        <patternFill patternType="none">
          <fgColor indexed="64"/>
          <bgColor indexed="65"/>
        </patternFill>
      </fill>
      <border>
        <right style="medium">
          <color auto="1"/>
        </right>
      </border>
    </dxf>
    <dxf>
      <font>
        <strike val="0"/>
        <u val="none"/>
        <sz val="14"/>
        <color auto="1"/>
        <name val="Times New Roman"/>
        <family val="1"/>
      </font>
      <fill>
        <patternFill patternType="none">
          <fgColor indexed="64"/>
          <bgColor indexed="65"/>
        </patternFill>
      </fill>
    </dxf>
    <dxf>
      <font>
        <strike val="0"/>
        <u val="none"/>
        <sz val="14"/>
        <color auto="1"/>
        <name val="Times New Roman"/>
        <family val="1"/>
      </font>
      <fill>
        <patternFill patternType="none">
          <fgColor indexed="64"/>
          <bgColor indexed="65"/>
        </patternFill>
      </fill>
    </dxf>
    <dxf>
      <font>
        <strike val="0"/>
        <u val="none"/>
        <sz val="14"/>
        <color auto="1"/>
        <name val="Times New Roman"/>
        <family val="1"/>
      </font>
      <fill>
        <patternFill patternType="none">
          <fgColor indexed="64"/>
          <bgColor indexed="65"/>
        </patternFill>
      </fill>
    </dxf>
    <dxf>
      <font>
        <strike val="0"/>
        <u val="none"/>
        <sz val="14"/>
        <color auto="1"/>
        <name val="Times New Roman"/>
        <family val="1"/>
      </font>
      <fill>
        <patternFill patternType="none">
          <fgColor indexed="64"/>
          <bgColor indexed="65"/>
        </patternFill>
      </fill>
    </dxf>
    <dxf>
      <font>
        <strike val="0"/>
        <u val="none"/>
        <sz val="14"/>
        <name val="Times New Roman"/>
        <family val="1"/>
      </font>
      <fill>
        <patternFill patternType="none">
          <fgColor indexed="64"/>
          <bgColor indexed="65"/>
        </patternFill>
      </fill>
    </dxf>
    <dxf>
      <font>
        <strike val="0"/>
        <u val="none"/>
        <sz val="14"/>
        <name val="Times New Roman"/>
        <family val="1"/>
      </font>
      <fill>
        <patternFill patternType="none">
          <fgColor indexed="64"/>
          <bgColor indexed="65"/>
        </patternFill>
      </fill>
    </dxf>
    <dxf>
      <font>
        <strike val="0"/>
        <u val="none"/>
        <sz val="14"/>
        <name val="Times New Roman"/>
        <family val="1"/>
      </font>
      <numFmt numFmtId="0" formatCode="General"/>
      <fill>
        <patternFill patternType="none">
          <fgColor indexed="64"/>
          <bgColor indexed="65"/>
        </patternFill>
      </fill>
    </dxf>
    <dxf>
      <font>
        <strike val="0"/>
        <u val="none"/>
        <sz val="14"/>
        <name val="Times New Roman"/>
        <family val="1"/>
      </font>
      <numFmt numFmtId="0" formatCode="General"/>
      <fill>
        <patternFill patternType="none">
          <fgColor indexed="64"/>
          <bgColor indexed="65"/>
        </patternFill>
      </fill>
    </dxf>
    <dxf>
      <border>
        <top style="medium">
          <color auto="1"/>
        </top>
      </border>
    </dxf>
    <dxf>
      <font>
        <strike val="0"/>
        <u val="none"/>
        <sz val="14"/>
        <name val="Times New Roman"/>
        <family val="1"/>
      </font>
      <fill>
        <patternFill patternType="solid">
          <fgColor indexed="65"/>
          <bgColor theme="0" tint="-0.34995574816125979"/>
        </patternFill>
      </fill>
    </dxf>
    <dxf>
      <border>
        <bottom style="medium">
          <color auto="1"/>
        </bottom>
      </border>
    </dxf>
    <dxf>
      <font>
        <b/>
        <i val="0"/>
        <strike val="0"/>
        <u val="none"/>
        <sz val="14"/>
        <color auto="1"/>
        <name val="Times New Roman"/>
        <family val="1"/>
      </font>
      <fill>
        <patternFill patternType="solid">
          <fgColor theme="4"/>
          <bgColor theme="4"/>
        </patternFill>
      </fill>
      <alignment horizontal="center" vertical="center" textRotation="0" wrapText="1" indent="0" shrinkToFit="0" readingOrder="0"/>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wrapText="0" indent="0" shrinkToFit="0" readingOrder="0"/>
    </dxf>
    <dxf>
      <numFmt numFmtId="14" formatCode="0.00%"/>
      <fill>
        <patternFill patternType="none">
          <fgColor indexed="64"/>
          <bgColor indexed="65"/>
        </patternFill>
      </fill>
      <alignment horizontal="center" vertical="center" textRotation="0" wrapText="0" indent="0" shrinkToFit="0" readingOrder="0"/>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indent="0" shrinkToFit="0" readingOrder="0"/>
    </dxf>
    <dxf>
      <numFmt numFmtId="14" formatCode="0.00%"/>
      <fill>
        <patternFill patternType="none">
          <fgColor indexed="64"/>
          <bgColor indexed="65"/>
        </patternFill>
      </fill>
      <alignment horizontal="center" vertical="center" textRotation="0" indent="0" shrinkToFit="0" readingOrder="0"/>
    </dxf>
    <dxf>
      <border>
        <top style="medium">
          <color auto="1"/>
        </top>
      </border>
    </dxf>
    <dxf>
      <numFmt numFmtId="14" formatCode="0.00%"/>
      <fill>
        <patternFill patternType="none">
          <fgColor indexed="64"/>
          <bgColor indexed="65"/>
        </patternFill>
      </fill>
      <alignment horizontal="center" vertical="center" textRotation="0" indent="0" shrinkToFit="0" readingOrder="0"/>
    </dxf>
    <dxf>
      <border>
        <bottom style="medium">
          <color auto="1"/>
        </bottom>
      </border>
    </dxf>
    <dxf>
      <font>
        <b/>
        <i val="0"/>
        <strike val="0"/>
        <u val="none"/>
        <sz val="11"/>
        <color auto="1"/>
        <name val="Calibri"/>
      </font>
      <numFmt numFmtId="30" formatCode="@"/>
      <fill>
        <patternFill patternType="solid">
          <fgColor indexed="65"/>
          <bgColor rgb="FFD58DFD"/>
        </patternFill>
      </fill>
      <alignment horizontal="center" vertical="center" textRotation="0" wrapText="1"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wrapText="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border>
        <top style="medium">
          <color auto="1"/>
        </top>
      </border>
    </dxf>
    <dxf>
      <fill>
        <patternFill patternType="none">
          <fgColor indexed="64"/>
          <bgColor indexed="65"/>
        </patternFill>
      </fill>
      <alignment horizontal="center" vertical="center" textRotation="0" indent="0" shrinkToFit="0" readingOrder="0"/>
      <protection locked="0" hidden="1"/>
    </dxf>
    <dxf>
      <border>
        <bottom style="medium">
          <color auto="1"/>
        </bottom>
      </border>
    </dxf>
    <dxf>
      <font>
        <b/>
        <i val="0"/>
        <strike val="0"/>
        <u val="none"/>
        <sz val="11"/>
        <color auto="1"/>
        <name val="Calibri"/>
      </font>
      <numFmt numFmtId="30" formatCode="@"/>
      <fill>
        <patternFill patternType="solid">
          <fgColor indexed="65"/>
          <bgColor theme="8" tint="0.59996337778862885"/>
        </patternFill>
      </fill>
      <alignment horizontal="center" vertical="center" textRotation="0" wrapText="1" indent="0" shrinkToFit="0" readingOrder="0"/>
      <border>
        <left style="medium">
          <color auto="1"/>
        </left>
        <right style="medium">
          <color auto="1"/>
        </right>
        <top/>
        <bottom/>
      </border>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font>
        <color auto="1"/>
      </font>
      <numFmt numFmtId="14" formatCode="0.00%"/>
      <fill>
        <patternFill patternType="none">
          <fgColor indexed="64"/>
          <bgColor indexed="65"/>
        </patternFill>
      </fill>
      <alignment horizontal="center" vertical="center" textRotation="0" wrapText="1"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numFmt numFmtId="14" formatCode="0.00%"/>
      <fill>
        <patternFill patternType="none">
          <fgColor indexed="64"/>
          <bgColor indexed="65"/>
        </patternFill>
      </fill>
      <alignment horizontal="center" vertical="center" textRotation="0" indent="0" shrinkToFit="0" readingOrder="0"/>
      <protection locked="0" hidden="1"/>
    </dxf>
    <dxf>
      <border>
        <top style="medium">
          <color auto="1"/>
        </top>
      </border>
    </dxf>
    <dxf>
      <fill>
        <patternFill patternType="none">
          <fgColor indexed="64"/>
          <bgColor indexed="65"/>
        </patternFill>
      </fill>
      <alignment horizontal="center" vertical="center" textRotation="0" indent="0" shrinkToFit="0" readingOrder="0"/>
      <protection locked="0" hidden="1"/>
    </dxf>
    <dxf>
      <border>
        <bottom style="medium">
          <color auto="1"/>
        </bottom>
      </border>
    </dxf>
    <dxf>
      <font>
        <b/>
        <i val="0"/>
        <strike val="0"/>
        <u val="none"/>
        <sz val="11"/>
        <color auto="1"/>
        <name val="Calibri"/>
      </font>
      <numFmt numFmtId="2" formatCode="0.00"/>
      <fill>
        <patternFill patternType="solid">
          <fgColor indexed="65"/>
          <bgColor theme="9" tint="0.59996337778862885"/>
        </patternFill>
      </fill>
      <alignment horizontal="center" vertical="center" textRotation="0" wrapText="1" indent="0" shrinkToFit="0" readingOrder="0"/>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protection locked="0" hidden="1"/>
    </dxf>
    <dxf>
      <numFmt numFmtId="165" formatCode="0.0%"/>
      <fill>
        <patternFill patternType="none">
          <fgColor indexed="64"/>
          <bgColor indexed="65"/>
        </patternFill>
      </fill>
      <alignment horizontal="center" vertical="center" textRotation="0" wrapText="1" indent="0" shrinkToFit="0" readingOrder="0"/>
      <border>
        <left style="medium">
          <color auto="1"/>
        </left>
      </border>
      <protection locked="0" hidden="1"/>
    </dxf>
    <dxf>
      <font>
        <strike val="0"/>
        <u val="none"/>
        <sz val="10"/>
        <name val="Arial"/>
      </font>
      <numFmt numFmtId="3" formatCode="#,##0"/>
      <alignment horizontal="center" vertical="center" textRotation="0" wrapText="1" indent="0" shrinkToFit="0" readingOrder="0"/>
      <border>
        <left style="thin">
          <color rgb="FF000000"/>
        </left>
        <right style="thin">
          <color rgb="FF000000"/>
        </right>
        <top style="thin">
          <color rgb="FF000000"/>
        </top>
        <bottom style="thin">
          <color rgb="FF000000"/>
        </bottom>
        <vertical/>
        <horizontal/>
      </border>
    </dxf>
    <dxf>
      <font>
        <strike val="0"/>
        <u val="none"/>
        <sz val="10"/>
        <color auto="1"/>
        <name val="Arial"/>
      </font>
      <numFmt numFmtId="2" formatCode="0.00"/>
      <alignment horizontal="center" vertical="center" textRotation="0" wrapText="1" indent="0" shrinkToFit="0" readingOrder="0"/>
      <border>
        <left style="thin">
          <color rgb="FF000000"/>
        </left>
        <right style="thin">
          <color rgb="FF000000"/>
        </right>
        <top style="thin">
          <color rgb="FF000000"/>
        </top>
        <bottom style="thin">
          <color rgb="FF000000"/>
        </bottom>
        <vertical/>
        <horizontal/>
      </border>
    </dxf>
    <dxf>
      <font>
        <strike val="0"/>
        <u val="none"/>
        <sz val="10"/>
        <color auto="1"/>
        <name val="Arial"/>
      </font>
      <numFmt numFmtId="2" formatCode="0.00"/>
      <alignment horizontal="center" vertical="center" textRotation="0" wrapText="1" indent="0" shrinkToFit="0" readingOrder="0"/>
      <border>
        <left style="thin">
          <color rgb="FF000000"/>
        </left>
        <right style="thin">
          <color rgb="FF000000"/>
        </right>
        <top style="thin">
          <color rgb="FF000000"/>
        </top>
        <bottom style="thin">
          <color rgb="FF000000"/>
        </bottom>
        <vertical/>
        <horizontal/>
      </border>
    </dxf>
    <dxf>
      <font>
        <strike val="0"/>
        <u val="none"/>
        <sz val="11"/>
        <name val="Calibri"/>
      </font>
      <numFmt numFmtId="2" formatCode="0.00"/>
      <alignment horizontal="center" vertical="center" textRotation="0" wrapText="0" indent="0" shrinkToFit="0" readingOrder="0"/>
      <border>
        <left/>
        <right style="medium">
          <color auto="1"/>
        </right>
        <top/>
        <bottom/>
        <vertical/>
        <horizontal/>
      </border>
    </dxf>
    <dxf>
      <font>
        <strike val="0"/>
        <u val="none"/>
        <sz val="11"/>
        <name val="Calibri"/>
      </font>
      <numFmt numFmtId="2" formatCode="0.00"/>
      <fill>
        <patternFill patternType="none">
          <fgColor indexed="64"/>
          <bgColor indexed="65"/>
        </patternFill>
      </fill>
      <alignment horizontal="center" vertical="center" textRotation="0" wrapText="0" indent="0" shrinkToFit="0" readingOrder="0"/>
    </dxf>
    <dxf>
      <font>
        <strike val="0"/>
        <u val="none"/>
        <sz val="11"/>
        <name val="Calibri"/>
      </font>
      <numFmt numFmtId="2" formatCode="0.00"/>
      <fill>
        <patternFill patternType="none">
          <fgColor indexed="64"/>
          <bgColor indexed="65"/>
        </patternFill>
      </fill>
      <alignment horizontal="center" vertical="center" textRotation="0" indent="0" shrinkToFit="0" readingOrder="0"/>
    </dxf>
    <dxf>
      <font>
        <strike val="0"/>
        <u val="none"/>
        <sz val="11"/>
        <name val="Calibri"/>
      </font>
      <numFmt numFmtId="2" formatCode="0.00"/>
      <fill>
        <patternFill patternType="none">
          <fgColor indexed="64"/>
          <bgColor indexed="65"/>
        </patternFill>
      </fill>
      <alignment horizontal="center" vertical="center" textRotation="0" indent="0" shrinkToFit="0" readingOrder="0"/>
    </dxf>
    <dxf>
      <font>
        <strike val="0"/>
        <u val="none"/>
        <sz val="11"/>
        <name val="Calibri"/>
      </font>
      <numFmt numFmtId="2" formatCode="0.00"/>
      <fill>
        <patternFill patternType="none">
          <fgColor indexed="64"/>
          <bgColor indexed="65"/>
        </patternFill>
      </fill>
      <alignment horizontal="center" vertical="center" textRotation="0" indent="0" shrinkToFit="0" readingOrder="0"/>
    </dxf>
    <dxf>
      <font>
        <strike val="0"/>
        <u val="none"/>
        <sz val="11"/>
        <name val="Calibri"/>
      </font>
      <numFmt numFmtId="2" formatCode="0.00"/>
      <fill>
        <patternFill patternType="none">
          <fgColor indexed="64"/>
          <bgColor indexed="65"/>
        </patternFill>
      </fill>
      <alignment horizontal="center" vertical="center" textRotation="0" indent="0" shrinkToFit="0" readingOrder="0"/>
      <border>
        <left style="medium">
          <color auto="1"/>
        </left>
      </border>
    </dxf>
    <dxf>
      <border>
        <top style="thin">
          <color auto="1"/>
        </top>
      </border>
    </dxf>
    <dxf>
      <fill>
        <patternFill patternType="none">
          <fgColor indexed="64"/>
          <bgColor indexed="65"/>
        </patternFill>
      </fill>
      <alignment horizontal="center" vertical="center" textRotation="0" indent="0" shrinkToFit="0" readingOrder="0"/>
    </dxf>
    <dxf>
      <border>
        <bottom style="medium">
          <color auto="1"/>
        </bottom>
      </border>
    </dxf>
    <dxf>
      <font>
        <b/>
        <i val="0"/>
        <strike val="0"/>
        <u val="none"/>
        <sz val="11"/>
        <color auto="1"/>
        <name val="Calibri"/>
      </font>
      <fill>
        <patternFill patternType="solid">
          <fgColor indexed="65"/>
          <bgColor rgb="FFFFCE33"/>
        </patternFill>
      </fill>
      <alignment horizontal="center" vertical="center" textRotation="0" wrapText="1" indent="0" shrinkToFit="0" readingOrder="0"/>
    </dxf>
    <dxf>
      <numFmt numFmtId="2" formatCode="0.00"/>
      <fill>
        <patternFill patternType="none">
          <fgColor indexed="64"/>
          <bgColor indexed="65"/>
        </patternFill>
      </fill>
      <alignment horizontal="center" vertical="center" textRotation="0" wrapText="1" indent="0" shrinkToFit="0" readingOrder="0"/>
      <border>
        <left style="medium">
          <color auto="1"/>
        </left>
        <right/>
        <top/>
        <bottom/>
        <vertical/>
        <horizontal/>
      </border>
      <protection locked="0" hidden="1"/>
    </dxf>
    <dxf>
      <numFmt numFmtId="2" formatCode="0.00"/>
      <fill>
        <patternFill patternType="none">
          <fgColor indexed="64"/>
          <bgColor indexed="65"/>
        </patternFill>
      </fill>
      <alignment horizontal="center" vertical="center" textRotation="0" wrapText="1" indent="0" shrinkToFit="0" readingOrder="0"/>
      <border>
        <left style="medium">
          <color auto="1"/>
        </left>
        <right/>
        <top/>
        <bottom/>
        <vertical/>
        <horizontal/>
      </border>
      <protection locked="0" hidden="1"/>
    </dxf>
    <dxf>
      <numFmt numFmtId="2" formatCode="0.00"/>
      <fill>
        <patternFill patternType="none">
          <fgColor indexed="64"/>
          <bgColor indexed="65"/>
        </patternFill>
      </fill>
      <alignment horizontal="center" vertical="center" textRotation="0" wrapText="1" indent="0" shrinkToFit="0" readingOrder="0"/>
      <border>
        <left style="medium">
          <color auto="1"/>
        </left>
        <right/>
        <top/>
        <bottom/>
        <vertical/>
        <horizontal/>
      </border>
      <protection locked="0" hidden="1"/>
    </dxf>
    <dxf>
      <numFmt numFmtId="2" formatCode="0.00"/>
      <fill>
        <patternFill patternType="none">
          <fgColor indexed="64"/>
          <bgColor indexed="65"/>
        </patternFill>
      </fill>
      <alignment horizontal="center" vertical="center" textRotation="0" wrapText="1" indent="0" shrinkToFit="0" readingOrder="0"/>
      <protection locked="0" hidden="1"/>
    </dxf>
    <dxf>
      <numFmt numFmtId="2" formatCode="0.00"/>
      <fill>
        <patternFill patternType="none">
          <fgColor indexed="64"/>
          <bgColor indexed="65"/>
        </patternFill>
      </fill>
      <alignment horizontal="center" vertical="center" textRotation="0" wrapText="1" indent="0" shrinkToFit="0" readingOrder="0"/>
      <border>
        <left/>
        <right style="medium">
          <color auto="1"/>
        </right>
      </border>
      <protection locked="0" hidden="1"/>
    </dxf>
    <dxf>
      <numFmt numFmtId="2" formatCode="0.00"/>
      <fill>
        <patternFill patternType="none">
          <fgColor indexed="64"/>
          <bgColor indexed="65"/>
        </patternFill>
      </fill>
      <alignment horizontal="center" vertical="center" textRotation="0" wrapText="1" indent="0" shrinkToFit="0" readingOrder="0"/>
      <border>
        <left/>
        <right style="medium">
          <color auto="1"/>
        </right>
      </border>
      <protection locked="0" hidden="1"/>
    </dxf>
    <dxf>
      <numFmt numFmtId="2" formatCode="0.00"/>
      <fill>
        <patternFill patternType="none">
          <fgColor indexed="64"/>
          <bgColor indexed="65"/>
        </patternFill>
      </fill>
      <alignment horizontal="center" vertical="center" textRotation="0" wrapText="1" indent="0" shrinkToFit="0" readingOrder="0"/>
      <border>
        <left/>
        <right style="medium">
          <color auto="1"/>
        </right>
      </border>
      <protection locked="0" hidden="1"/>
    </dxf>
    <dxf>
      <numFmt numFmtId="2" formatCode="0.00"/>
      <fill>
        <patternFill patternType="none">
          <fgColor indexed="64"/>
          <bgColor indexed="65"/>
        </patternFill>
      </fill>
      <alignment horizontal="center" vertical="center" textRotation="0" wrapText="1" indent="0" shrinkToFit="0" readingOrder="0"/>
      <border>
        <left/>
        <right style="medium">
          <color auto="1"/>
        </right>
      </border>
      <protection locked="0" hidden="1"/>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0" formatCode="General"/>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dxf>
    <dxf>
      <numFmt numFmtId="2" formatCode="0.00"/>
      <alignment horizontal="center" vertical="center" textRotation="0" wrapText="0" indent="0" shrinkToFit="0" readingOrder="0"/>
      <border>
        <left style="medium">
          <color auto="1"/>
        </left>
      </border>
    </dxf>
    <dxf>
      <numFmt numFmtId="2" formatCode="0.00"/>
      <fill>
        <patternFill patternType="none">
          <fgColor indexed="64"/>
          <bgColor indexed="65"/>
        </patternFill>
      </fill>
      <alignment horizontal="center" vertical="center" textRotation="0" indent="0" shrinkToFit="0" readingOrder="0"/>
      <border>
        <left/>
        <right style="medium">
          <color auto="1"/>
        </right>
      </border>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border>
        <left style="medium">
          <color auto="1"/>
        </left>
      </border>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border>
        <left style="medium">
          <color auto="1"/>
        </left>
      </border>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border>
        <left style="medium">
          <color auto="1"/>
        </left>
      </border>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border>
        <left style="medium">
          <color auto="1"/>
        </left>
      </border>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dxf>
    <dxf>
      <numFmt numFmtId="2" formatCode="0.00"/>
      <fill>
        <patternFill patternType="none">
          <fgColor indexed="64"/>
          <bgColor indexed="65"/>
        </patternFill>
      </fill>
      <alignment horizontal="center" vertical="center" textRotation="0" indent="0" shrinkToFit="0" readingOrder="0"/>
      <border>
        <left style="medium">
          <color auto="1"/>
        </left>
      </border>
    </dxf>
    <dxf>
      <border>
        <top style="thin">
          <color auto="1"/>
        </top>
      </border>
    </dxf>
    <dxf>
      <fill>
        <patternFill patternType="none">
          <fgColor indexed="64"/>
          <bgColor indexed="65"/>
        </patternFill>
      </fill>
      <alignment horizontal="center" vertical="center" textRotation="0" indent="0" shrinkToFit="0" readingOrder="0"/>
    </dxf>
    <dxf>
      <border>
        <bottom style="medium">
          <color auto="1"/>
        </bottom>
      </border>
    </dxf>
    <dxf>
      <font>
        <b/>
        <i val="0"/>
        <strike val="0"/>
        <u val="none"/>
        <sz val="11"/>
        <color auto="1"/>
        <name val="Calibri"/>
      </font>
      <fill>
        <patternFill patternType="solid">
          <fgColor indexed="65"/>
          <bgColor theme="5"/>
        </patternFill>
      </fill>
      <alignment horizontal="center" vertical="center" textRotation="0" wrapText="1" indent="0" shrinkToFit="0" readingOrder="0"/>
      <border>
        <left style="medium">
          <color auto="1"/>
        </left>
        <right style="medium">
          <color auto="1"/>
        </right>
        <top/>
        <bottom/>
      </border>
    </dxf>
    <dxf>
      <numFmt numFmtId="1" formatCode="0"/>
      <fill>
        <patternFill patternType="solid">
          <fgColor indexed="65"/>
          <bgColor theme="0" tint="-0.34995574816125979"/>
        </patternFill>
      </fill>
      <border>
        <left style="thin">
          <color auto="1"/>
        </left>
      </border>
      <protection locked="0" hidden="1"/>
    </dxf>
    <dxf>
      <font>
        <b/>
        <strike val="0"/>
        <u val="none"/>
        <sz val="14"/>
        <color auto="1"/>
        <name val="Calibri"/>
      </font>
      <numFmt numFmtId="166" formatCode="m/d/yyyy"/>
      <fill>
        <patternFill patternType="none">
          <fgColor indexed="64"/>
          <bgColor indexed="65"/>
        </patternFill>
      </fill>
      <alignment horizontal="center" vertical="center" textRotation="0" wrapText="1" indent="0" shrinkToFit="0" readingOrder="0"/>
      <border>
        <left/>
        <right style="medium">
          <color auto="1"/>
        </right>
        <top/>
        <bottom/>
      </border>
      <protection locked="0" hidden="1"/>
    </dxf>
    <dxf>
      <font>
        <b/>
        <strike val="0"/>
        <u val="none"/>
        <sz val="11"/>
        <color auto="1"/>
        <name val="Calibri"/>
      </font>
      <numFmt numFmtId="19" formatCode="d/mm/yyyy"/>
      <fill>
        <patternFill patternType="none">
          <fgColor indexed="64"/>
          <bgColor indexed="65"/>
        </patternFill>
      </fill>
      <alignment horizontal="center" vertical="center" textRotation="0" wrapText="1" indent="0" shrinkToFit="0" readingOrder="0"/>
      <border>
        <left style="thin">
          <color auto="1"/>
        </left>
        <right style="thin">
          <color auto="1"/>
        </right>
        <top style="thin">
          <color auto="1"/>
        </top>
        <bottom style="thin">
          <color auto="1"/>
        </bottom>
      </border>
      <protection locked="0" hidden="1"/>
    </dxf>
    <dxf>
      <font>
        <b/>
        <strike val="0"/>
        <u val="none"/>
        <sz val="11"/>
        <color auto="1"/>
        <name val="Calibri"/>
      </font>
      <numFmt numFmtId="19" formatCode="d/mm/yyyy"/>
      <fill>
        <patternFill patternType="none">
          <fgColor indexed="64"/>
          <bgColor indexed="65"/>
        </patternFill>
      </fill>
      <alignment horizontal="center" vertical="center" textRotation="0" wrapText="1" indent="0" shrinkToFit="0" readingOrder="0"/>
      <border>
        <left style="thin">
          <color auto="1"/>
        </left>
        <right/>
        <top style="thin">
          <color auto="1"/>
        </top>
        <bottom style="thin">
          <color auto="1"/>
        </bottom>
        <vertical/>
        <horizontal/>
      </border>
      <protection locked="0" hidden="1"/>
    </dxf>
    <dxf>
      <font>
        <strike val="0"/>
        <u val="none"/>
        <sz val="11"/>
        <color auto="1"/>
        <name val="Calibri"/>
      </font>
      <fill>
        <patternFill patternType="none">
          <fgColor indexed="64"/>
          <bgColor indexed="65"/>
        </patternFill>
      </fill>
      <protection locked="0" hidden="1"/>
    </dxf>
    <dxf>
      <font>
        <strike val="0"/>
        <u val="none"/>
        <sz val="11"/>
        <color auto="1"/>
        <name val="Calibri"/>
      </font>
      <numFmt numFmtId="0" formatCode="General"/>
      <fill>
        <patternFill patternType="none">
          <fgColor indexed="64"/>
          <bgColor indexed="65"/>
        </patternFill>
      </fill>
      <protection locked="0" hidden="1"/>
    </dxf>
    <dxf>
      <font>
        <strike val="0"/>
        <u val="none"/>
        <sz val="11"/>
        <color auto="1"/>
        <name val="Calibri"/>
      </font>
      <fill>
        <patternFill patternType="none">
          <fgColor indexed="64"/>
          <bgColor indexed="65"/>
        </patternFill>
      </fill>
      <protection locked="0" hidden="1"/>
    </dxf>
    <dxf>
      <font>
        <strike val="0"/>
        <u val="none"/>
        <sz val="11"/>
        <color auto="1"/>
        <name val="Calibri"/>
      </font>
      <numFmt numFmtId="14" formatCode="0.00%"/>
      <fill>
        <patternFill patternType="none">
          <fgColor indexed="64"/>
          <bgColor indexed="65"/>
        </patternFill>
      </fill>
      <alignment horizontal="center" vertical="center" textRotation="0" indent="0" shrinkToFit="0" readingOrder="0"/>
      <protection locked="0" hidden="1"/>
    </dxf>
    <dxf>
      <font>
        <strike val="0"/>
        <u val="none"/>
        <sz val="11"/>
        <color auto="1"/>
        <name val="Calibri"/>
      </font>
      <fill>
        <patternFill patternType="none">
          <fgColor indexed="64"/>
          <bgColor indexed="65"/>
        </patternFill>
      </fill>
      <alignment horizontal="center" vertical="center" textRotation="0" wrapText="1" indent="0" shrinkToFit="0" readingOrder="0"/>
      <protection locked="0" hidden="1"/>
    </dxf>
    <dxf>
      <fill>
        <patternFill patternType="none">
          <fgColor indexed="64"/>
          <bgColor indexed="65"/>
        </patternFill>
      </fill>
      <alignment horizontal="general" vertical="bottom" textRotation="0" wrapText="1" indent="0" shrinkToFit="0" readingOrder="0"/>
      <protection locked="0" hidden="1"/>
    </dxf>
    <dxf>
      <fill>
        <patternFill patternType="none">
          <fgColor indexed="64"/>
          <bgColor indexed="65"/>
        </patternFill>
      </fill>
      <alignment horizontal="general" vertical="bottom" textRotation="0" wrapText="1" indent="0" shrinkToFit="0" readingOrder="0"/>
      <protection locked="0" hidden="1"/>
    </dxf>
    <dxf>
      <numFmt numFmtId="0" formatCode="General"/>
      <fill>
        <patternFill patternType="none">
          <fgColor indexed="64"/>
          <bgColor indexed="65"/>
        </patternFill>
      </fill>
    </dxf>
    <dxf>
      <fill>
        <patternFill patternType="none">
          <fgColor indexed="64"/>
          <bgColor indexed="65"/>
        </patternFill>
      </fill>
      <protection locked="0" hidden="1"/>
    </dxf>
    <dxf>
      <border>
        <top style="medium">
          <color auto="1"/>
        </top>
      </border>
    </dxf>
    <dxf>
      <fill>
        <patternFill patternType="solid">
          <fgColor indexed="65"/>
          <bgColor theme="0" tint="-0.34995574816125979"/>
        </patternFill>
      </fill>
    </dxf>
    <dxf>
      <border>
        <bottom style="medium">
          <color auto="1"/>
        </bottom>
      </border>
    </dxf>
    <dxf>
      <font>
        <b/>
        <i val="0"/>
        <strike val="0"/>
        <u val="none"/>
        <sz val="11"/>
        <color auto="1"/>
        <name val="Calibri"/>
      </font>
      <fill>
        <patternFill patternType="solid">
          <fgColor theme="4"/>
          <bgColor theme="4"/>
        </patternFill>
      </fill>
      <alignment horizontal="center" vertical="center" textRotation="0" wrapText="1" indent="0" shrinkToFit="0" readingOrder="0"/>
    </dxf>
    <dxf>
      <numFmt numFmtId="30" formatCode="@"/>
      <fill>
        <patternFill patternType="solid">
          <fgColor indexed="65"/>
          <bgColor theme="0" tint="-0.34995574816125979"/>
        </patternFill>
      </fill>
    </dxf>
    <dxf>
      <numFmt numFmtId="30" formatCode="@"/>
      <fill>
        <patternFill patternType="solid">
          <fgColor indexed="65"/>
          <bgColor theme="0" tint="-0.34995574816125979"/>
        </patternFill>
      </fill>
    </dxf>
    <dxf>
      <numFmt numFmtId="1" formatCode="0"/>
      <fill>
        <patternFill patternType="solid">
          <fgColor indexed="65"/>
          <bgColor theme="0" tint="-0.34995574816125979"/>
        </patternFill>
      </fill>
    </dxf>
    <dxf>
      <numFmt numFmtId="1" formatCode="0"/>
      <fill>
        <patternFill patternType="solid">
          <fgColor indexed="65"/>
          <bgColor theme="0" tint="-0.34995574816125979"/>
        </patternFill>
      </fill>
    </dxf>
    <dxf>
      <numFmt numFmtId="2" formatCode="0.00"/>
      <fill>
        <patternFill patternType="none">
          <fgColor indexed="64"/>
          <bgColor indexed="65"/>
        </patternFill>
      </fill>
    </dxf>
    <dxf>
      <numFmt numFmtId="1" formatCode="0"/>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solid">
          <fgColor indexed="65"/>
          <bgColor theme="0" tint="-0.34995574816125979"/>
        </patternFill>
      </fill>
    </dxf>
    <dxf>
      <fill>
        <patternFill patternType="solid">
          <fgColor indexed="65"/>
          <bgColor theme="0" tint="-0.34995574816125979"/>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kern="1200" spc="0" baseline="0">
                <a:solidFill>
                  <a:srgbClr val="000000">
                    <a:lumMod val="65000"/>
                    <a:lumOff val="35000"/>
                  </a:srgbClr>
                </a:solidFill>
                <a:latin typeface="+mn-lt"/>
                <a:ea typeface="+mn-ea"/>
                <a:cs typeface="+mn-cs"/>
              </a:rPr>
              <a:t>SemÁforo de Avance hasta la vigencia</a:t>
            </a:r>
          </a:p>
          <a:p>
            <a:pPr>
              <a:defRPr/>
            </a:pPr>
            <a:r>
              <a:rPr lang="es-CO" sz="1400" b="0" i="0" u="none" kern="1200" spc="0" baseline="0">
                <a:solidFill>
                  <a:srgbClr val="000000">
                    <a:lumMod val="65000"/>
                    <a:lumOff val="35000"/>
                  </a:srgbClr>
                </a:solidFill>
                <a:latin typeface="+mn-lt"/>
                <a:ea typeface="+mn-ea"/>
                <a:cs typeface="+mn-cs"/>
              </a:rPr>
              <a:t>(por PRODUCTOS)</a:t>
            </a:r>
          </a:p>
        </c:rich>
      </c:tx>
      <c:overlay val="0"/>
      <c:spPr>
        <a:noFill/>
        <a:ln w="6350">
          <a:noFill/>
        </a:ln>
        <a:effectLst/>
      </c:spPr>
    </c:title>
    <c:autoTitleDeleted val="0"/>
    <c:plotArea>
      <c:layout/>
      <c:doughnutChart>
        <c:varyColors val="1"/>
        <c:ser>
          <c:idx val="0"/>
          <c:order val="0"/>
          <c:tx>
            <c:v>SemÁforo de Avance de la vigencia (por productos)</c:v>
          </c:tx>
          <c:dPt>
            <c:idx val="0"/>
            <c:bubble3D val="0"/>
            <c:spPr>
              <a:solidFill>
                <a:srgbClr val="92D050"/>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0-BDAE-5F46-87F0-87B198CB0F67}"/>
              </c:ext>
            </c:extLst>
          </c:dPt>
          <c:dPt>
            <c:idx val="1"/>
            <c:bubble3D val="0"/>
            <c:spPr>
              <a:solidFill>
                <a:srgbClr val="FF0000"/>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BDAE-5F46-87F0-87B198CB0F67}"/>
              </c:ext>
            </c:extLst>
          </c:dPt>
          <c:dPt>
            <c:idx val="2"/>
            <c:bubble3D val="0"/>
            <c:spPr>
              <a:solidFill>
                <a:schemeClr val="accent4"/>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BDAE-5F46-87F0-87B198CB0F67}"/>
              </c:ext>
            </c:extLst>
          </c:dPt>
          <c:dLbls>
            <c:dLbl>
              <c:idx val="0"/>
              <c:layout>
                <c:manualLayout>
                  <c:x val="2.20565300180682E-3"/>
                  <c:y val="-3.191843460971070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DAE-5F46-87F0-87B198CB0F67}"/>
                </c:ext>
              </c:extLst>
            </c:dLbl>
            <c:dLbl>
              <c:idx val="1"/>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DAE-5F46-87F0-87B198CB0F67}"/>
                </c:ext>
              </c:extLst>
            </c:dLbl>
            <c:dLbl>
              <c:idx val="2"/>
              <c:layout>
                <c:manualLayout>
                  <c:x val="-2.20565300180698E-3"/>
                  <c:y val="-3.590136991119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DAE-5F46-87F0-87B198CB0F67}"/>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1" i="0" u="none" kern="1200" baseline="0">
                    <a:solidFill>
                      <a:schemeClr val="bg1"/>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solidFill>
                    <a:schemeClr val="tx1">
                      <a:lumMod val="35000"/>
                      <a:lumOff val="65000"/>
                    </a:schemeClr>
                  </a:solidFill>
                  <a:round/>
                </a:ln>
                <a:effectLst/>
              </c:spPr>
            </c:leaderLines>
            <c:extLst>
              <c:ext xmlns:c15="http://schemas.microsoft.com/office/drawing/2012/chart" uri="{CE6537A1-D6FC-4f65-9D91-7224C49458BB}"/>
            </c:extLst>
          </c:dLbls>
          <c:cat>
            <c:strRef>
              <c:f>'Cálculos PRODUCTOS'!$B$7:$B$9</c:f>
              <c:strCache>
                <c:ptCount val="3"/>
                <c:pt idx="0">
                  <c:v>Cumplimiento ALTO</c:v>
                </c:pt>
                <c:pt idx="1">
                  <c:v>Cumplimiento BAJO</c:v>
                </c:pt>
                <c:pt idx="2">
                  <c:v>Cumplimiento MEDIO</c:v>
                </c:pt>
              </c:strCache>
            </c:strRef>
          </c:cat>
          <c:val>
            <c:numRef>
              <c:f>'Cálculos PRODUCTOS'!$C$7:$C$9</c:f>
              <c:numCache>
                <c:formatCode>General</c:formatCode>
                <c:ptCount val="3"/>
                <c:pt idx="0">
                  <c:v>0</c:v>
                </c:pt>
                <c:pt idx="1">
                  <c:v>0</c:v>
                </c:pt>
                <c:pt idx="2">
                  <c:v>0</c:v>
                </c:pt>
              </c:numCache>
            </c:numRef>
          </c:val>
          <c:extLst>
            <c:ext xmlns:c16="http://schemas.microsoft.com/office/drawing/2014/chart" uri="{C3380CC4-5D6E-409C-BE32-E72D297353CC}">
              <c16:uniqueId val="{00000006-EB2E-4B3C-8409-48BD7EF4B6C7}"/>
            </c:ext>
          </c:extLst>
        </c:ser>
        <c:dLbls>
          <c:showLegendKey val="0"/>
          <c:showVal val="0"/>
          <c:showCatName val="1"/>
          <c:showSerName val="0"/>
          <c:showPercent val="1"/>
          <c:showBubbleSize val="0"/>
          <c:showLeaderLines val="1"/>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kern="1200" cap="all" spc="0" baseline="0">
                <a:solidFill>
                  <a:srgbClr val="000000">
                    <a:lumMod val="65000"/>
                    <a:lumOff val="35000"/>
                  </a:srgbClr>
                </a:solidFill>
                <a:latin typeface="+mn-lt"/>
                <a:ea typeface="+mn-ea"/>
                <a:cs typeface="+mn-cs"/>
              </a:rPr>
              <a:t>SemÁforo de Avance ACUMULADO</a:t>
            </a:r>
          </a:p>
          <a:p>
            <a:pPr>
              <a:defRPr/>
            </a:pPr>
            <a:r>
              <a:rPr lang="es-CO" sz="1400" b="0" i="0" u="none" kern="1200" cap="all" spc="0" baseline="0">
                <a:solidFill>
                  <a:srgbClr val="000000">
                    <a:lumMod val="65000"/>
                    <a:lumOff val="35000"/>
                  </a:srgbClr>
                </a:solidFill>
                <a:latin typeface="+mn-lt"/>
                <a:ea typeface="+mn-ea"/>
                <a:cs typeface="+mn-cs"/>
              </a:rPr>
              <a:t>(POR PRODUCTOS)</a:t>
            </a:r>
          </a:p>
          <a:p>
            <a:pPr>
              <a:defRPr/>
            </a:pPr>
            <a:r>
              <a:rPr lang="es-CO" sz="1400" b="0" i="0" u="none" kern="1200" cap="all" spc="0" baseline="0">
                <a:solidFill>
                  <a:srgbClr val="000000">
                    <a:lumMod val="65000"/>
                    <a:lumOff val="35000"/>
                  </a:srgbClr>
                </a:solidFill>
                <a:latin typeface="+mn-lt"/>
                <a:ea typeface="+mn-ea"/>
                <a:cs typeface="+mn-cs"/>
              </a:rPr>
              <a:t> </a:t>
            </a:r>
          </a:p>
        </c:rich>
      </c:tx>
      <c:overlay val="0"/>
      <c:spPr>
        <a:noFill/>
        <a:ln w="6350">
          <a:noFill/>
        </a:ln>
        <a:effectLst/>
      </c:spPr>
    </c:title>
    <c:autoTitleDeleted val="0"/>
    <c:plotArea>
      <c:layout/>
      <c:doughnutChart>
        <c:varyColors val="1"/>
        <c:ser>
          <c:idx val="0"/>
          <c:order val="0"/>
          <c:tx>
            <c:v>SEMÁFORO DE AVANCE ACUMULADO (POR PRODUCTOS)</c:v>
          </c:tx>
          <c:dPt>
            <c:idx val="0"/>
            <c:bubble3D val="0"/>
            <c:spPr>
              <a:solidFill>
                <a:srgbClr val="92D050"/>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0-218C-504A-91DA-C5D018BA5DF0}"/>
              </c:ext>
            </c:extLst>
          </c:dPt>
          <c:dPt>
            <c:idx val="1"/>
            <c:bubble3D val="0"/>
            <c:spPr>
              <a:solidFill>
                <a:srgbClr val="FF0000"/>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218C-504A-91DA-C5D018BA5DF0}"/>
              </c:ext>
            </c:extLst>
          </c:dPt>
          <c:dPt>
            <c:idx val="2"/>
            <c:bubble3D val="0"/>
            <c:spPr>
              <a:solidFill>
                <a:schemeClr val="accent4"/>
              </a:solidFill>
              <a:ln w="6350">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218C-504A-91DA-C5D018BA5DF0}"/>
              </c:ext>
            </c:extLst>
          </c:dPt>
          <c:dLbls>
            <c:dLbl>
              <c:idx val="0"/>
              <c:layout>
                <c:manualLayout>
                  <c:x val="2.20565300180682E-3"/>
                  <c:y val="-3.191843460971070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18C-504A-91DA-C5D018BA5DF0}"/>
                </c:ext>
              </c:extLst>
            </c:dLbl>
            <c:dLbl>
              <c:idx val="1"/>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18C-504A-91DA-C5D018BA5DF0}"/>
                </c:ext>
              </c:extLst>
            </c:dLbl>
            <c:dLbl>
              <c:idx val="2"/>
              <c:layout>
                <c:manualLayout>
                  <c:x val="-2.20565300180698E-3"/>
                  <c:y val="-3.590136991119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218C-504A-91DA-C5D018BA5DF0}"/>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1" i="0" u="none" kern="1200" baseline="0">
                    <a:solidFill>
                      <a:schemeClr val="bg1"/>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solidFill>
                    <a:schemeClr val="tx1">
                      <a:lumMod val="35000"/>
                      <a:lumOff val="65000"/>
                    </a:schemeClr>
                  </a:solidFill>
                  <a:round/>
                </a:ln>
                <a:effectLst/>
              </c:spPr>
            </c:leaderLines>
            <c:extLst>
              <c:ext xmlns:c15="http://schemas.microsoft.com/office/drawing/2012/chart" uri="{CE6537A1-D6FC-4f65-9D91-7224C49458BB}"/>
            </c:extLst>
          </c:dLbls>
          <c:cat>
            <c:strRef>
              <c:f>'Cálculos PRODUCTOS'!$B$14:$B$16</c:f>
              <c:strCache>
                <c:ptCount val="3"/>
                <c:pt idx="0">
                  <c:v>Cumplimiento ALTO</c:v>
                </c:pt>
                <c:pt idx="1">
                  <c:v>Cumplimiento BAJO</c:v>
                </c:pt>
                <c:pt idx="2">
                  <c:v>Cumplimiento MEDIO</c:v>
                </c:pt>
              </c:strCache>
            </c:strRef>
          </c:cat>
          <c:val>
            <c:numRef>
              <c:f>'Cálculos PRODUCTOS'!$C$14:$C$16</c:f>
              <c:numCache>
                <c:formatCode>General</c:formatCode>
                <c:ptCount val="3"/>
                <c:pt idx="0">
                  <c:v>0</c:v>
                </c:pt>
                <c:pt idx="1">
                  <c:v>0</c:v>
                </c:pt>
                <c:pt idx="2">
                  <c:v>0</c:v>
                </c:pt>
              </c:numCache>
            </c:numRef>
          </c:val>
          <c:extLst>
            <c:ext xmlns:c16="http://schemas.microsoft.com/office/drawing/2014/chart" uri="{C3380CC4-5D6E-409C-BE32-E72D297353CC}">
              <c16:uniqueId val="{00000006-A914-4A4C-8F57-CF13FF5E7AF6}"/>
            </c:ext>
          </c:extLst>
        </c:ser>
        <c:dLbls>
          <c:showLegendKey val="0"/>
          <c:showVal val="0"/>
          <c:showCatName val="1"/>
          <c:showSerName val="0"/>
          <c:showPercent val="1"/>
          <c:showBubbleSize val="0"/>
          <c:showLeaderLines val="1"/>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r>
              <a:rPr lang="es-CO"/>
              <a:t>AVANCE ACUMULADO DE LA POLÍTICA</a:t>
            </a:r>
          </a:p>
        </c:rich>
      </c:tx>
      <c:overlay val="0"/>
      <c:spPr>
        <a:noFill/>
        <a:ln w="6350">
          <a:noFill/>
        </a:ln>
        <a:effectLst/>
      </c:spPr>
      <c:txPr>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2"/>
          <c:order val="0"/>
          <c:tx>
            <c:v>BASE</c:v>
          </c:tx>
          <c:spPr>
            <a:solidFill>
              <a:schemeClr val="accent3"/>
            </a:solidFill>
            <a:ln w="6350">
              <a:noFill/>
            </a:ln>
            <a:effectLst/>
          </c:spPr>
          <c:invertIfNegative val="0"/>
          <c:val>
            <c:numRef>
              <c:f>'Cálculos PRODUCTOS'!$O$5</c:f>
              <c:numCache>
                <c:formatCode>0.0%</c:formatCode>
                <c:ptCount val="1"/>
                <c:pt idx="0">
                  <c:v>0</c:v>
                </c:pt>
              </c:numCache>
            </c:numRef>
          </c:val>
          <c:extLst>
            <c:ext xmlns:c16="http://schemas.microsoft.com/office/drawing/2014/chart" uri="{C3380CC4-5D6E-409C-BE32-E72D297353CC}">
              <c16:uniqueId val="{00000000-EA1A-4D88-9301-538BFFC320A8}"/>
            </c:ext>
          </c:extLst>
        </c:ser>
        <c:ser>
          <c:idx val="3"/>
          <c:order val="1"/>
          <c:tx>
            <c:v> BRECHA POSITIVA</c:v>
          </c:tx>
          <c:spPr>
            <a:solidFill>
              <a:srgbClr val="00B05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'Cálculos PRODUCTOS'!$P$5</c:f>
              <c:numCache>
                <c:formatCode>0.0%</c:formatCode>
                <c:ptCount val="1"/>
                <c:pt idx="0">
                  <c:v>0</c:v>
                </c:pt>
              </c:numCache>
            </c:numRef>
          </c:val>
          <c:extLst>
            <c:ext xmlns:c16="http://schemas.microsoft.com/office/drawing/2014/chart" uri="{C3380CC4-5D6E-409C-BE32-E72D297353CC}">
              <c16:uniqueId val="{00000002-EA1A-4D88-9301-538BFFC320A8}"/>
            </c:ext>
          </c:extLst>
        </c:ser>
        <c:ser>
          <c:idx val="4"/>
          <c:order val="2"/>
          <c:tx>
            <c:v>BRECHA NEGATIVA</c:v>
          </c:tx>
          <c:spPr>
            <a:solidFill>
              <a:srgbClr val="FF0000"/>
            </a:solidFill>
            <a:ln w="6350">
              <a:noFill/>
            </a:ln>
            <a:effectLst/>
          </c:spPr>
          <c:invertIfNegative val="0"/>
          <c:val>
            <c:numRef>
              <c:f>'Cálculos PRODUCTOS'!$Q$5</c:f>
              <c:numCache>
                <c:formatCode>0.0%</c:formatCode>
                <c:ptCount val="1"/>
                <c:pt idx="0">
                  <c:v>0</c:v>
                </c:pt>
              </c:numCache>
            </c:numRef>
          </c:val>
          <c:extLst>
            <c:ext xmlns:c16="http://schemas.microsoft.com/office/drawing/2014/chart" uri="{C3380CC4-5D6E-409C-BE32-E72D297353CC}">
              <c16:uniqueId val="{00000003-EA1A-4D88-9301-538BFFC320A8}"/>
            </c:ext>
          </c:extLst>
        </c:ser>
        <c:ser>
          <c:idx val="5"/>
          <c:order val="3"/>
          <c:tx>
            <c:v>SIN BRECHA</c:v>
          </c:tx>
          <c:spPr>
            <a:solidFill>
              <a:schemeClr val="accent6"/>
            </a:solidFill>
            <a:ln w="6350">
              <a:noFill/>
            </a:ln>
            <a:effectLst/>
          </c:spPr>
          <c:invertIfNegative val="0"/>
          <c:val>
            <c:numRef>
              <c:f>'Cálculos PRODUCTOS'!$R$5</c:f>
              <c:numCache>
                <c:formatCode>0.0%</c:formatCode>
                <c:ptCount val="1"/>
                <c:pt idx="0">
                  <c:v>0</c:v>
                </c:pt>
              </c:numCache>
            </c:numRef>
          </c:val>
          <c:extLst>
            <c:ext xmlns:c16="http://schemas.microsoft.com/office/drawing/2014/chart" uri="{C3380CC4-5D6E-409C-BE32-E72D297353CC}">
              <c16:uniqueId val="{00000004-EA1A-4D88-9301-538BFFC320A8}"/>
            </c:ext>
          </c:extLst>
        </c:ser>
        <c:dLbls>
          <c:showLegendKey val="0"/>
          <c:showVal val="0"/>
          <c:showCatName val="0"/>
          <c:showSerName val="0"/>
          <c:showPercent val="0"/>
          <c:showBubbleSize val="0"/>
        </c:dLbls>
        <c:gapWidth val="150"/>
        <c:overlap val="100"/>
        <c:axId val="12373024"/>
        <c:axId val="66049074"/>
      </c:barChart>
      <c:barChart>
        <c:barDir val="col"/>
        <c:grouping val="clustered"/>
        <c:varyColors val="0"/>
        <c:ser>
          <c:idx val="1"/>
          <c:order val="4"/>
          <c:tx>
            <c:v>TRAYECTORIA IDEAL </c:v>
          </c:tx>
          <c:spPr>
            <a:solidFill>
              <a:srgbClr val="92D050"/>
            </a:solidFill>
            <a:ln w="6350">
              <a:noFill/>
            </a:ln>
            <a:effectLst/>
          </c:spPr>
          <c:invertIfNegative val="0"/>
          <c:dPt>
            <c:idx val="0"/>
            <c:invertIfNegative val="0"/>
            <c:bubble3D val="0"/>
            <c:spPr>
              <a:solidFill>
                <a:srgbClr val="92D050"/>
              </a:solidFill>
              <a:ln w="6350">
                <a:noFill/>
              </a:ln>
              <a:effectLst/>
            </c:spPr>
            <c:extLst>
              <c:ext xmlns:c16="http://schemas.microsoft.com/office/drawing/2014/chart" uri="{C3380CC4-5D6E-409C-BE32-E72D297353CC}">
                <c16:uniqueId val="{00000001-F269-C84F-A8E3-4C9DC0D4E79C}"/>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AVANCE POLÍTICA PÚBLICA</c:v>
              </c:pt>
            </c:strLit>
          </c:cat>
          <c:val>
            <c:numRef>
              <c:f>'Cálculos PRODUCTOS'!$M$5</c:f>
              <c:numCache>
                <c:formatCode>0.00%</c:formatCode>
                <c:ptCount val="1"/>
                <c:pt idx="0">
                  <c:v>0.44978124147954202</c:v>
                </c:pt>
              </c:numCache>
            </c:numRef>
          </c:val>
          <c:extLst>
            <c:ext xmlns:c16="http://schemas.microsoft.com/office/drawing/2014/chart" uri="{C3380CC4-5D6E-409C-BE32-E72D297353CC}">
              <c16:uniqueId val="{00000006-EA1A-4D88-9301-538BFFC320A8}"/>
            </c:ext>
          </c:extLst>
        </c:ser>
        <c:ser>
          <c:idx val="0"/>
          <c:order val="5"/>
          <c:tx>
            <c:v>AVANCE ACUMULADO </c:v>
          </c:tx>
          <c:spPr>
            <a:solidFill>
              <a:schemeClr val="accent5">
                <a:lumMod val="40000"/>
                <a:lumOff val="60000"/>
              </a:schemeClr>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AVANCE POLÍTICA PÚBLICA</c:v>
              </c:pt>
            </c:strLit>
          </c:cat>
          <c:val>
            <c:numRef>
              <c:f>'Cálculos PRODUCTOS'!$L$5</c:f>
              <c:numCache>
                <c:formatCode>0.00%</c:formatCode>
                <c:ptCount val="1"/>
                <c:pt idx="0">
                  <c:v>0</c:v>
                </c:pt>
              </c:numCache>
            </c:numRef>
          </c:val>
          <c:extLst>
            <c:ext xmlns:c16="http://schemas.microsoft.com/office/drawing/2014/chart" uri="{C3380CC4-5D6E-409C-BE32-E72D297353CC}">
              <c16:uniqueId val="{00000007-EA1A-4D88-9301-538BFFC320A8}"/>
            </c:ext>
          </c:extLst>
        </c:ser>
        <c:dLbls>
          <c:showLegendKey val="0"/>
          <c:showVal val="0"/>
          <c:showCatName val="0"/>
          <c:showSerName val="0"/>
          <c:showPercent val="0"/>
          <c:showBubbleSize val="0"/>
        </c:dLbls>
        <c:gapWidth val="150"/>
        <c:axId val="65331397"/>
        <c:axId val="18682393"/>
      </c:barChart>
      <c:catAx>
        <c:axId val="12373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66049074"/>
        <c:crosses val="autoZero"/>
        <c:auto val="1"/>
        <c:lblAlgn val="ctr"/>
        <c:lblOffset val="100"/>
        <c:noMultiLvlLbl val="0"/>
      </c:catAx>
      <c:valAx>
        <c:axId val="6604907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12373024"/>
        <c:crosses val="autoZero"/>
        <c:crossBetween val="between"/>
      </c:valAx>
      <c:catAx>
        <c:axId val="65331397"/>
        <c:scaling>
          <c:orientation val="minMax"/>
        </c:scaling>
        <c:delete val="1"/>
        <c:axPos val="b"/>
        <c:numFmt formatCode="General" sourceLinked="1"/>
        <c:majorTickMark val="out"/>
        <c:minorTickMark val="none"/>
        <c:tickLblPos val="nextTo"/>
        <c:crossAx val="18682393"/>
        <c:crosses val="autoZero"/>
        <c:auto val="1"/>
        <c:lblAlgn val="ctr"/>
        <c:lblOffset val="100"/>
        <c:noMultiLvlLbl val="0"/>
      </c:catAx>
      <c:valAx>
        <c:axId val="18682393"/>
        <c:scaling>
          <c:orientation val="minMax"/>
          <c:min val="0"/>
        </c:scaling>
        <c:delete val="0"/>
        <c:axPos val="r"/>
        <c:numFmt formatCode="0.00%" sourceLinked="1"/>
        <c:majorTickMark val="out"/>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65331397"/>
        <c:crosses val="max"/>
        <c:crossBetween val="between"/>
      </c:valAx>
      <c:spPr>
        <a:noFill/>
        <a:ln w="6350">
          <a:noFill/>
        </a:ln>
        <a:effectLst/>
      </c:spPr>
    </c:plotArea>
    <c:legend>
      <c:legendPos val="b"/>
      <c:legendEntry>
        <c:idx val="0"/>
        <c:delete val="1"/>
      </c:legendEntry>
      <c:legendEntry>
        <c:idx val="3"/>
        <c:delete val="1"/>
      </c:legendEntry>
      <c:overlay val="0"/>
      <c:spPr>
        <a:noFill/>
        <a:ln w="6350">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r>
              <a:rPr lang="es-CO"/>
              <a:t>AVANCE ACUMULADO POR OBJETIVOS</a:t>
            </a:r>
          </a:p>
        </c:rich>
      </c:tx>
      <c:overlay val="0"/>
      <c:spPr>
        <a:noFill/>
        <a:ln w="6350">
          <a:noFill/>
        </a:ln>
        <a:effectLst/>
      </c:spPr>
      <c:txPr>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2"/>
          <c:order val="0"/>
          <c:tx>
            <c:v>BASE</c:v>
          </c:tx>
          <c:spPr>
            <a:solidFill>
              <a:schemeClr val="accent3"/>
            </a:solidFill>
            <a:ln w="6350">
              <a:noFill/>
            </a:ln>
            <a:effectLst/>
          </c:spPr>
          <c:invertIfNegative val="0"/>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PRODUCTOS'!$Y$5:$Y$10</c:f>
              <c:numCache>
                <c:formatCode>0.00%</c:formatCode>
                <c:ptCount val="6"/>
                <c:pt idx="0">
                  <c:v>0</c:v>
                </c:pt>
                <c:pt idx="1">
                  <c:v>0</c:v>
                </c:pt>
                <c:pt idx="2">
                  <c:v>0</c:v>
                </c:pt>
                <c:pt idx="3">
                  <c:v>0</c:v>
                </c:pt>
                <c:pt idx="4">
                  <c:v>0</c:v>
                </c:pt>
              </c:numCache>
            </c:numRef>
          </c:val>
          <c:extLst>
            <c:ext xmlns:c16="http://schemas.microsoft.com/office/drawing/2014/chart" uri="{C3380CC4-5D6E-409C-BE32-E72D297353CC}">
              <c16:uniqueId val="{00000000-FDF5-4BEA-A88D-046291554F57}"/>
            </c:ext>
          </c:extLst>
        </c:ser>
        <c:ser>
          <c:idx val="3"/>
          <c:order val="1"/>
          <c:tx>
            <c:v> BRECHA POSITIVA</c:v>
          </c:tx>
          <c:spPr>
            <a:solidFill>
              <a:srgbClr val="70AD47">
                <a:lumMod val="50000"/>
              </a:srgbClr>
            </a:solidFill>
            <a:ln w="6350">
              <a:noFill/>
            </a:ln>
            <a:effectLst/>
          </c:spPr>
          <c:invertIfNegative val="0"/>
          <c:dLbls>
            <c:dLbl>
              <c:idx val="0"/>
              <c:layout>
                <c:manualLayout>
                  <c:x val="3.7518477665612102E-2"/>
                  <c:y val="2.17017679631020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7E-8D49-A82C-C4B2151083A2}"/>
                </c:ext>
              </c:extLst>
            </c:dLbl>
            <c:dLbl>
              <c:idx val="1"/>
              <c:layout>
                <c:manualLayout>
                  <c:x val="4.3795659423040201E-2"/>
                  <c:y val="1.5016855479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7E-8D49-A82C-C4B2151083A2}"/>
                </c:ext>
              </c:extLst>
            </c:dLbl>
            <c:dLbl>
              <c:idx val="2"/>
              <c:delete val="1"/>
              <c:extLst>
                <c:ext xmlns:c15="http://schemas.microsoft.com/office/drawing/2012/chart" uri="{CE6537A1-D6FC-4f65-9D91-7224C49458BB}"/>
                <c:ext xmlns:c16="http://schemas.microsoft.com/office/drawing/2014/chart" uri="{C3380CC4-5D6E-409C-BE32-E72D297353CC}">
                  <c16:uniqueId val="{00000002-FA7E-8D49-A82C-C4B2151083A2}"/>
                </c:ext>
              </c:extLst>
            </c:dLbl>
            <c:dLbl>
              <c:idx val="3"/>
              <c:delete val="1"/>
              <c:extLst>
                <c:ext xmlns:c15="http://schemas.microsoft.com/office/drawing/2012/chart" uri="{CE6537A1-D6FC-4f65-9D91-7224C49458BB}"/>
                <c:ext xmlns:c16="http://schemas.microsoft.com/office/drawing/2014/chart" uri="{C3380CC4-5D6E-409C-BE32-E72D297353CC}">
                  <c16:uniqueId val="{00000003-FA7E-8D49-A82C-C4B2151083A2}"/>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PRODUCTOS'!$Z$5:$Z$10</c:f>
              <c:numCache>
                <c:formatCode>0.00%</c:formatCode>
                <c:ptCount val="6"/>
                <c:pt idx="0">
                  <c:v>0</c:v>
                </c:pt>
                <c:pt idx="1">
                  <c:v>0</c:v>
                </c:pt>
                <c:pt idx="2">
                  <c:v>0</c:v>
                </c:pt>
                <c:pt idx="3">
                  <c:v>0</c:v>
                </c:pt>
                <c:pt idx="4">
                  <c:v>0</c:v>
                </c:pt>
              </c:numCache>
            </c:numRef>
          </c:val>
          <c:extLst>
            <c:ext xmlns:c16="http://schemas.microsoft.com/office/drawing/2014/chart" uri="{C3380CC4-5D6E-409C-BE32-E72D297353CC}">
              <c16:uniqueId val="{00000005-FDF5-4BEA-A88D-046291554F57}"/>
            </c:ext>
          </c:extLst>
        </c:ser>
        <c:ser>
          <c:idx val="4"/>
          <c:order val="2"/>
          <c:tx>
            <c:v>BRECHA NEGATIVA</c:v>
          </c:tx>
          <c:spPr>
            <a:solidFill>
              <a:srgbClr val="C00000"/>
            </a:solidFill>
            <a:ln w="6350">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FA7E-8D49-A82C-C4B2151083A2}"/>
                </c:ext>
              </c:extLst>
            </c:dLbl>
            <c:dLbl>
              <c:idx val="1"/>
              <c:delete val="1"/>
              <c:extLst>
                <c:ext xmlns:c15="http://schemas.microsoft.com/office/drawing/2012/chart" uri="{CE6537A1-D6FC-4f65-9D91-7224C49458BB}"/>
                <c:ext xmlns:c16="http://schemas.microsoft.com/office/drawing/2014/chart" uri="{C3380CC4-5D6E-409C-BE32-E72D297353CC}">
                  <c16:uniqueId val="{00000005-FA7E-8D49-A82C-C4B2151083A2}"/>
                </c:ext>
              </c:extLst>
            </c:dLbl>
            <c:dLbl>
              <c:idx val="2"/>
              <c:layout>
                <c:manualLayout>
                  <c:x val="4.4440441796557602E-2"/>
                  <c:y val="-1.9367978631172001E-2"/>
                </c:manualLayout>
              </c:layout>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A7E-8D49-A82C-C4B2151083A2}"/>
                </c:ext>
              </c:extLst>
            </c:dLbl>
            <c:dLbl>
              <c:idx val="3"/>
              <c:layout>
                <c:manualLayout>
                  <c:x val="5.14573536591722E-2"/>
                  <c:y val="-1.69469813022755E-2"/>
                </c:manualLayout>
              </c:layout>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7E-8D49-A82C-C4B2151083A2}"/>
                </c:ext>
              </c:extLst>
            </c:dLbl>
            <c:dLbl>
              <c:idx val="4"/>
              <c:layout>
                <c:manualLayout>
                  <c:x val="2.84850294865776E-2"/>
                  <c:y val="-1.7393339114156699E-2"/>
                </c:manualLayout>
              </c:layout>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A7E-8D49-A82C-C4B2151083A2}"/>
                </c:ext>
              </c:extLst>
            </c:dLbl>
            <c:dLbl>
              <c:idx val="5"/>
              <c:delete val="1"/>
              <c:extLst>
                <c:ext xmlns:c15="http://schemas.microsoft.com/office/drawing/2012/chart" uri="{CE6537A1-D6FC-4f65-9D91-7224C49458BB}"/>
                <c:ext xmlns:c16="http://schemas.microsoft.com/office/drawing/2014/chart" uri="{C3380CC4-5D6E-409C-BE32-E72D297353CC}">
                  <c16:uniqueId val="{00000009-FA7E-8D49-A82C-C4B2151083A2}"/>
                </c:ext>
              </c:extLst>
            </c:dLbl>
            <c:dLbl>
              <c:idx val="6"/>
              <c:layout>
                <c:manualLayout>
                  <c:x val="6.5734683430563696E-3"/>
                  <c:y val="-9.9390509223752296E-3"/>
                </c:manualLayout>
              </c:layout>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A7E-8D49-A82C-C4B2151083A2}"/>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bg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PRODUCTOS'!$AA$5:$AA$10</c:f>
              <c:numCache>
                <c:formatCode>0.00%</c:formatCode>
                <c:ptCount val="6"/>
                <c:pt idx="0">
                  <c:v>0</c:v>
                </c:pt>
                <c:pt idx="1">
                  <c:v>0</c:v>
                </c:pt>
                <c:pt idx="2">
                  <c:v>0</c:v>
                </c:pt>
                <c:pt idx="3">
                  <c:v>0</c:v>
                </c:pt>
                <c:pt idx="4">
                  <c:v>0</c:v>
                </c:pt>
              </c:numCache>
            </c:numRef>
          </c:val>
          <c:extLst>
            <c:ext xmlns:c16="http://schemas.microsoft.com/office/drawing/2014/chart" uri="{C3380CC4-5D6E-409C-BE32-E72D297353CC}">
              <c16:uniqueId val="{0000000D-FDF5-4BEA-A88D-046291554F57}"/>
            </c:ext>
          </c:extLst>
        </c:ser>
        <c:ser>
          <c:idx val="5"/>
          <c:order val="3"/>
          <c:tx>
            <c:v>SIN BRECHA</c:v>
          </c:tx>
          <c:spPr>
            <a:solidFill>
              <a:schemeClr val="accent6"/>
            </a:solidFill>
            <a:ln w="6350">
              <a:noFill/>
            </a:ln>
            <a:effectLst/>
          </c:spPr>
          <c:invertIfNegative val="0"/>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PRODUCTOS'!$AB$5:$AB$10</c:f>
              <c:numCache>
                <c:formatCode>0.00%</c:formatCode>
                <c:ptCount val="6"/>
                <c:pt idx="0">
                  <c:v>0</c:v>
                </c:pt>
                <c:pt idx="1">
                  <c:v>0</c:v>
                </c:pt>
                <c:pt idx="2">
                  <c:v>0</c:v>
                </c:pt>
                <c:pt idx="3">
                  <c:v>0</c:v>
                </c:pt>
              </c:numCache>
            </c:numRef>
          </c:val>
          <c:extLst>
            <c:ext xmlns:c16="http://schemas.microsoft.com/office/drawing/2014/chart" uri="{C3380CC4-5D6E-409C-BE32-E72D297353CC}">
              <c16:uniqueId val="{0000000E-FDF5-4BEA-A88D-046291554F57}"/>
            </c:ext>
          </c:extLst>
        </c:ser>
        <c:dLbls>
          <c:showLegendKey val="0"/>
          <c:showVal val="0"/>
          <c:showCatName val="0"/>
          <c:showSerName val="0"/>
          <c:showPercent val="0"/>
          <c:showBubbleSize val="0"/>
        </c:dLbls>
        <c:gapWidth val="152"/>
        <c:overlap val="100"/>
        <c:axId val="40403938"/>
        <c:axId val="9010288"/>
      </c:barChart>
      <c:barChart>
        <c:barDir val="bar"/>
        <c:grouping val="clustered"/>
        <c:varyColors val="0"/>
        <c:ser>
          <c:idx val="1"/>
          <c:order val="4"/>
          <c:tx>
            <c:v>TRAYECTORIA IDEAL ACUMULADA</c:v>
          </c:tx>
          <c:spPr>
            <a:solidFill>
              <a:srgbClr val="92D050"/>
            </a:solidFill>
            <a:ln w="6350">
              <a:noFill/>
            </a:ln>
            <a:effectLst/>
          </c:spPr>
          <c:invertIfNegative val="0"/>
          <c:dLbls>
            <c:dLbl>
              <c:idx val="0"/>
              <c:layout>
                <c:manualLayout>
                  <c:x val="-0.16063826292410999"/>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A7E-8D49-A82C-C4B2151083A2}"/>
                </c:ext>
              </c:extLst>
            </c:dLbl>
            <c:dLbl>
              <c:idx val="2"/>
              <c:layout>
                <c:manualLayout>
                  <c:x val="-0.148984297244764"/>
                  <c:y val="-8.87688765939005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A7E-8D49-A82C-C4B2151083A2}"/>
                </c:ext>
              </c:extLst>
            </c:dLbl>
            <c:dLbl>
              <c:idx val="3"/>
              <c:layout>
                <c:manualLayout>
                  <c:x val="-0.15131509038063301"/>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7E-8D49-A82C-C4B2151083A2}"/>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7"/>
              <c:pt idx="0">
                <c:v>1. Estandarizar la oferta de servicios y su calidad.
</c:v>
              </c:pt>
              <c:pt idx="1">
                <c:v>2. Articulación y coordinación entre las entidades.</c:v>
              </c:pt>
              <c:pt idx="2">
                <c:v>3. Aumentar los niveles de interacción.</c:v>
              </c:pt>
              <c:pt idx="3">
                <c:v>4. Mejorar la cualificación de servidores(as).</c:v>
              </c:pt>
              <c:pt idx="4">
                <c:v>5. Aumentar la oferta de servicios</c:v>
              </c:pt>
              <c:pt idx="5">
                <c:v>6. Evidencia para la toma de decisiones</c:v>
              </c:pt>
              <c:pt idx="6">
                <c:v>7. Eficiencia y la eficacia de la regulación.</c:v>
              </c:pt>
            </c:strLit>
          </c:cat>
          <c:val>
            <c:numRef>
              <c:f>'Cálculos PRODUCTOS'!$W$5:$W$10</c:f>
              <c:numCache>
                <c:formatCode>0.00%</c:formatCode>
                <c:ptCount val="6"/>
                <c:pt idx="0">
                  <c:v>9.7724337740193054E-2</c:v>
                </c:pt>
                <c:pt idx="1">
                  <c:v>5.6394838813881187E-2</c:v>
                </c:pt>
                <c:pt idx="2">
                  <c:v>6.9047619047619052E-2</c:v>
                </c:pt>
                <c:pt idx="3">
                  <c:v>7.7500000000000013E-2</c:v>
                </c:pt>
                <c:pt idx="4">
                  <c:v>7.7500000000000013E-2</c:v>
                </c:pt>
              </c:numCache>
            </c:numRef>
          </c:val>
          <c:extLst>
            <c:ext xmlns:c16="http://schemas.microsoft.com/office/drawing/2014/chart" uri="{C3380CC4-5D6E-409C-BE32-E72D297353CC}">
              <c16:uniqueId val="{00000012-FDF5-4BEA-A88D-046291554F57}"/>
            </c:ext>
          </c:extLst>
        </c:ser>
        <c:ser>
          <c:idx val="0"/>
          <c:order val="5"/>
          <c:tx>
            <c:v>AVANCE ACUMULADO </c:v>
          </c:tx>
          <c:spPr>
            <a:solidFill>
              <a:schemeClr val="accent1">
                <a:lumMod val="60000"/>
                <a:lumOff val="40000"/>
              </a:schemeClr>
            </a:solidFill>
            <a:ln w="6350">
              <a:noFill/>
            </a:ln>
            <a:effectLst/>
          </c:spPr>
          <c:invertIfNegative val="0"/>
          <c:dLbls>
            <c:dLbl>
              <c:idx val="0"/>
              <c:layout>
                <c:manualLayout>
                  <c:x val="-0.204923332505626"/>
                  <c:y val="-2.420997328896490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7E-8D49-A82C-C4B2151083A2}"/>
                </c:ext>
              </c:extLst>
            </c:dLbl>
            <c:dLbl>
              <c:idx val="1"/>
              <c:layout>
                <c:manualLayout>
                  <c:x val="-0.219851267252441"/>
                  <c:y val="-8.87688765939005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7E-8D49-A82C-C4B2151083A2}"/>
                </c:ext>
              </c:extLst>
            </c:dLbl>
            <c:dLbl>
              <c:idx val="2"/>
              <c:layout>
                <c:manualLayout>
                  <c:x val="-0.15364588351650199"/>
                  <c:y val="-8.87688765939005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7E-8D49-A82C-C4B2151083A2}"/>
                </c:ext>
              </c:extLst>
            </c:dLbl>
            <c:dLbl>
              <c:idx val="3"/>
              <c:layout>
                <c:manualLayout>
                  <c:x val="-0.13369429427346199"/>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A7E-8D49-A82C-C4B2151083A2}"/>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7"/>
              <c:pt idx="0">
                <c:v>1. Estandarizar la oferta de servicios y su calidad.
</c:v>
              </c:pt>
              <c:pt idx="1">
                <c:v>2. Articulación y coordinación entre las entidades.</c:v>
              </c:pt>
              <c:pt idx="2">
                <c:v>3. Aumentar los niveles de interacción.</c:v>
              </c:pt>
              <c:pt idx="3">
                <c:v>4. Mejorar la cualificación de servidores(as).</c:v>
              </c:pt>
              <c:pt idx="4">
                <c:v>5. Aumentar la oferta de servicios</c:v>
              </c:pt>
              <c:pt idx="5">
                <c:v>6. Evidencia para la toma de decisiones</c:v>
              </c:pt>
              <c:pt idx="6">
                <c:v>7. Eficiencia y la eficacia de la regulación.</c:v>
              </c:pt>
            </c:strLit>
          </c:cat>
          <c:val>
            <c:numRef>
              <c:f>'Cálculos PRODUCTOS'!$V$5:$V$10</c:f>
              <c:numCache>
                <c:formatCode>0.00%</c:formatCode>
                <c:ptCount val="6"/>
                <c:pt idx="0">
                  <c:v>0</c:v>
                </c:pt>
                <c:pt idx="1">
                  <c:v>0</c:v>
                </c:pt>
                <c:pt idx="2">
                  <c:v>0</c:v>
                </c:pt>
                <c:pt idx="3">
                  <c:v>0</c:v>
                </c:pt>
                <c:pt idx="4">
                  <c:v>0</c:v>
                </c:pt>
              </c:numCache>
            </c:numRef>
          </c:val>
          <c:extLst>
            <c:ext xmlns:c16="http://schemas.microsoft.com/office/drawing/2014/chart" uri="{C3380CC4-5D6E-409C-BE32-E72D297353CC}">
              <c16:uniqueId val="{00000017-FDF5-4BEA-A88D-046291554F57}"/>
            </c:ext>
          </c:extLst>
        </c:ser>
        <c:dLbls>
          <c:showLegendKey val="0"/>
          <c:showVal val="0"/>
          <c:showCatName val="0"/>
          <c:showSerName val="0"/>
          <c:showPercent val="0"/>
          <c:showBubbleSize val="0"/>
        </c:dLbls>
        <c:gapWidth val="152"/>
        <c:axId val="48797823"/>
        <c:axId val="17741903"/>
      </c:barChart>
      <c:catAx>
        <c:axId val="4040393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9010288"/>
        <c:crosses val="autoZero"/>
        <c:auto val="1"/>
        <c:lblAlgn val="ctr"/>
        <c:lblOffset val="100"/>
        <c:noMultiLvlLbl val="0"/>
      </c:catAx>
      <c:valAx>
        <c:axId val="90102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40403938"/>
        <c:crosses val="autoZero"/>
        <c:crossBetween val="between"/>
      </c:valAx>
      <c:catAx>
        <c:axId val="48797823"/>
        <c:scaling>
          <c:orientation val="minMax"/>
        </c:scaling>
        <c:delete val="1"/>
        <c:axPos val="l"/>
        <c:numFmt formatCode="General" sourceLinked="1"/>
        <c:majorTickMark val="out"/>
        <c:minorTickMark val="none"/>
        <c:tickLblPos val="nextTo"/>
        <c:crossAx val="17741903"/>
        <c:crosses val="autoZero"/>
        <c:auto val="1"/>
        <c:lblAlgn val="ctr"/>
        <c:lblOffset val="100"/>
        <c:noMultiLvlLbl val="0"/>
      </c:catAx>
      <c:valAx>
        <c:axId val="17741903"/>
        <c:scaling>
          <c:orientation val="minMax"/>
        </c:scaling>
        <c:delete val="0"/>
        <c:axPos val="t"/>
        <c:numFmt formatCode="0.00%" sourceLinked="1"/>
        <c:majorTickMark val="out"/>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48797823"/>
        <c:crosses val="max"/>
        <c:crossBetween val="between"/>
      </c:valAx>
      <c:spPr>
        <a:noFill/>
        <a:ln w="6350">
          <a:noFill/>
        </a:ln>
        <a:effectLst/>
      </c:spPr>
    </c:plotArea>
    <c:legend>
      <c:legendPos val="b"/>
      <c:legendEntry>
        <c:idx val="0"/>
        <c:delete val="1"/>
      </c:legendEntry>
      <c:legendEntry>
        <c:idx val="3"/>
        <c:delete val="1"/>
      </c:legendEntry>
      <c:overlay val="0"/>
      <c:spPr>
        <a:noFill/>
        <a:ln w="6350">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strike="noStrike" kern="1200" spc="0" baseline="0">
                <a:solidFill>
                  <a:srgbClr val="000000">
                    <a:lumMod val="65000"/>
                    <a:lumOff val="35000"/>
                  </a:srgbClr>
                </a:solidFill>
                <a:latin typeface="+mn-lt"/>
                <a:ea typeface="+mn-ea"/>
                <a:cs typeface="+mn-cs"/>
              </a:defRPr>
            </a:pPr>
            <a:r>
              <a:rPr lang="es-CO"/>
              <a:t>SEMÁFORO DE PRODUCTOS POR SECTOR RESPONSABLE HASTA LA VIGENCIA</a:t>
            </a:r>
          </a:p>
        </c:rich>
      </c:tx>
      <c:overlay val="0"/>
      <c:spPr>
        <a:noFill/>
        <a:ln w="6350">
          <a:noFill/>
        </a:ln>
        <a:effectLst/>
      </c:spPr>
      <c:txPr>
        <a:bodyPr rot="0" spcFirstLastPara="1" vertOverflow="ellipsis" vert="horz" wrap="square" anchor="ctr" anchorCtr="1"/>
        <a:lstStyle/>
        <a:p>
          <a:pPr>
            <a:defRPr lang="es-CO" sz="1400" b="0" i="0" u="none" strike="noStrike" kern="1200" spc="0" baseline="0">
              <a:solidFill>
                <a:srgbClr val="000000">
                  <a:lumMod val="65000"/>
                  <a:lumOff val="35000"/>
                </a:srgbClr>
              </a:solidFill>
              <a:latin typeface="+mn-lt"/>
              <a:ea typeface="+mn-ea"/>
              <a:cs typeface="+mn-cs"/>
            </a:defRPr>
          </a:pPr>
          <a:endParaRPr lang="es-CO"/>
        </a:p>
      </c:txPr>
    </c:title>
    <c:autoTitleDeleted val="0"/>
    <c:plotArea>
      <c:layout>
        <c:manualLayout>
          <c:layoutTarget val="inner"/>
          <c:xMode val="edge"/>
          <c:yMode val="edge"/>
          <c:x val="0.31848502864225903"/>
          <c:y val="9.3654781813225702E-2"/>
          <c:w val="0.65565189536805801"/>
          <c:h val="0.79422383676368202"/>
        </c:manualLayout>
      </c:layout>
      <c:barChart>
        <c:barDir val="bar"/>
        <c:grouping val="stacked"/>
        <c:varyColors val="0"/>
        <c:ser>
          <c:idx val="0"/>
          <c:order val="0"/>
          <c:tx>
            <c:v>Rojo</c:v>
          </c:tx>
          <c:spPr>
            <a:solidFill>
              <a:srgbClr val="C0000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PRODUCTOS'!$AJ$6:$AJ$13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PRODUCTOS'!$AK$6:$AK$13</c:f>
              <c:numCache>
                <c:formatCode>General</c:formatCode>
                <c:ptCount val="8"/>
                <c:pt idx="0">
                  <c:v>1</c:v>
                </c:pt>
                <c:pt idx="1">
                  <c:v>1</c:v>
                </c:pt>
                <c:pt idx="2">
                  <c:v>1</c:v>
                </c:pt>
                <c:pt idx="3">
                  <c:v>2</c:v>
                </c:pt>
                <c:pt idx="4">
                  <c:v>2</c:v>
                </c:pt>
                <c:pt idx="5">
                  <c:v>2</c:v>
                </c:pt>
                <c:pt idx="6">
                  <c:v>3</c:v>
                </c:pt>
                <c:pt idx="7">
                  <c:v>18</c:v>
                </c:pt>
              </c:numCache>
            </c:numRef>
          </c:val>
          <c:extLst>
            <c:ext xmlns:c16="http://schemas.microsoft.com/office/drawing/2014/chart" uri="{C3380CC4-5D6E-409C-BE32-E72D297353CC}">
              <c16:uniqueId val="{00000000-B7B3-4BB7-BA54-21074FFDFD3B}"/>
            </c:ext>
          </c:extLst>
        </c:ser>
        <c:ser>
          <c:idx val="1"/>
          <c:order val="1"/>
          <c:tx>
            <c:v>Amarillo</c:v>
          </c:tx>
          <c:spPr>
            <a:solidFill>
              <a:srgbClr val="FFC00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PRODUCTOS'!$AJ$6:$AJ$13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PRODUCTOS'!$AM$6:$AM$13</c:f>
              <c:numCache>
                <c:formatCode>General</c:formatCode>
                <c:ptCount val="8"/>
              </c:numCache>
            </c:numRef>
          </c:val>
          <c:extLst>
            <c:ext xmlns:c16="http://schemas.microsoft.com/office/drawing/2014/chart" uri="{C3380CC4-5D6E-409C-BE32-E72D297353CC}">
              <c16:uniqueId val="{00000001-B7B3-4BB7-BA54-21074FFDFD3B}"/>
            </c:ext>
          </c:extLst>
        </c:ser>
        <c:ser>
          <c:idx val="2"/>
          <c:order val="2"/>
          <c:tx>
            <c:v>Verdes</c:v>
          </c:tx>
          <c:spPr>
            <a:solidFill>
              <a:srgbClr val="92D05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PRODUCTOS'!$AJ$6:$AJ$13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PRODUCTOS'!$AL$6:$AL$13</c:f>
              <c:numCache>
                <c:formatCode>General</c:formatCode>
                <c:ptCount val="8"/>
                <c:pt idx="0">
                  <c:v>1</c:v>
                </c:pt>
                <c:pt idx="1">
                  <c:v>1</c:v>
                </c:pt>
                <c:pt idx="2">
                  <c:v>1</c:v>
                </c:pt>
                <c:pt idx="3">
                  <c:v>2</c:v>
                </c:pt>
                <c:pt idx="4">
                  <c:v>2</c:v>
                </c:pt>
                <c:pt idx="5">
                  <c:v>2</c:v>
                </c:pt>
                <c:pt idx="6">
                  <c:v>3</c:v>
                </c:pt>
                <c:pt idx="7">
                  <c:v>18</c:v>
                </c:pt>
              </c:numCache>
            </c:numRef>
          </c:val>
          <c:extLst>
            <c:ext xmlns:c16="http://schemas.microsoft.com/office/drawing/2014/chart" uri="{C3380CC4-5D6E-409C-BE32-E72D297353CC}">
              <c16:uniqueId val="{00000002-B7B3-4BB7-BA54-21074FFDFD3B}"/>
            </c:ext>
          </c:extLst>
        </c:ser>
        <c:dLbls>
          <c:showLegendKey val="0"/>
          <c:showVal val="0"/>
          <c:showCatName val="0"/>
          <c:showSerName val="0"/>
          <c:showPercent val="0"/>
          <c:showBubbleSize val="0"/>
        </c:dLbls>
        <c:gapWidth val="152"/>
        <c:overlap val="100"/>
        <c:axId val="45993033"/>
        <c:axId val="36757141"/>
      </c:barChart>
      <c:catAx>
        <c:axId val="4599303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36757141"/>
        <c:crosses val="autoZero"/>
        <c:auto val="1"/>
        <c:lblAlgn val="ctr"/>
        <c:lblOffset val="100"/>
        <c:noMultiLvlLbl val="0"/>
      </c:catAx>
      <c:valAx>
        <c:axId val="36757141"/>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lang="en-US" sz="1000" b="0" i="0" u="none" strike="noStrike" kern="1200" baseline="0">
                    <a:solidFill>
                      <a:srgbClr val="000000">
                        <a:lumMod val="65000"/>
                        <a:lumOff val="35000"/>
                      </a:srgbClr>
                    </a:solidFill>
                    <a:latin typeface="+mn-lt"/>
                    <a:ea typeface="+mn-ea"/>
                    <a:cs typeface="+mn-cs"/>
                  </a:defRPr>
                </a:pPr>
                <a:r>
                  <a:rPr lang="en-US"/>
                  <a:t>Número de Productos por color de semáforo</a:t>
                </a:r>
              </a:p>
            </c:rich>
          </c:tx>
          <c:overlay val="0"/>
          <c:spPr>
            <a:noFill/>
            <a:ln w="6350">
              <a:noFill/>
            </a:ln>
            <a:effectLst/>
          </c:spPr>
          <c:txPr>
            <a:bodyPr rot="0" spcFirstLastPara="1" vertOverflow="ellipsis" vert="horz" wrap="square" anchor="ctr" anchorCtr="1"/>
            <a:lstStyle/>
            <a:p>
              <a:pPr>
                <a:defRPr lang="en-US" sz="1000" b="0" i="0" u="none" strike="noStrike" kern="1200" baseline="0">
                  <a:solidFill>
                    <a:srgbClr val="000000">
                      <a:lumMod val="65000"/>
                      <a:lumOff val="35000"/>
                    </a:srgbClr>
                  </a:solidFill>
                  <a:latin typeface="+mn-lt"/>
                  <a:ea typeface="+mn-ea"/>
                  <a:cs typeface="+mn-cs"/>
                </a:defRPr>
              </a:pPr>
              <a:endParaRPr lang="es-CO"/>
            </a:p>
          </c:txPr>
        </c:title>
        <c:numFmt formatCode="General"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45993033"/>
        <c:crosses val="autoZero"/>
        <c:crossBetween val="between"/>
      </c:valAx>
      <c:spPr>
        <a:noFill/>
        <a:ln w="635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r>
              <a:rPr lang="es-CO"/>
              <a:t>AVANCE ACUMULADO HASTA LA VIGENCIA POR OBJETIVOS</a:t>
            </a:r>
          </a:p>
        </c:rich>
      </c:tx>
      <c:layout>
        <c:manualLayout>
          <c:xMode val="edge"/>
          <c:yMode val="edge"/>
          <c:x val="0.11707347118983399"/>
          <c:y val="9.9390509223752296E-3"/>
        </c:manualLayout>
      </c:layout>
      <c:overlay val="0"/>
      <c:spPr>
        <a:noFill/>
        <a:ln w="6350">
          <a:noFill/>
        </a:ln>
        <a:effectLst/>
      </c:spPr>
      <c:txPr>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2"/>
          <c:order val="0"/>
          <c:tx>
            <c:v>BASE</c:v>
          </c:tx>
          <c:spPr>
            <a:solidFill>
              <a:schemeClr val="accent3"/>
            </a:solidFill>
            <a:ln w="6350">
              <a:noFill/>
            </a:ln>
            <a:effectLst/>
          </c:spPr>
          <c:invertIfNegative val="0"/>
          <c:cat>
            <c:strRef>
              <c:f>'Cálculos PRODUCTOS'!$U$14:$U$18</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PRODUCTOS'!$Y$14:$Y$18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81F8-4A0E-9AD1-2ACF256D659C}"/>
            </c:ext>
          </c:extLst>
        </c:ser>
        <c:ser>
          <c:idx val="3"/>
          <c:order val="1"/>
          <c:tx>
            <c:v> BRECHA POSITIVA</c:v>
          </c:tx>
          <c:spPr>
            <a:solidFill>
              <a:srgbClr val="92D050"/>
            </a:solidFill>
            <a:ln w="6350">
              <a:noFill/>
            </a:ln>
            <a:effectLst/>
          </c:spPr>
          <c:invertIfNegative val="0"/>
          <c:cat>
            <c:strRef>
              <c:f>'Cálculos PRODUCTOS'!$U$14:$U$18</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PRODUCTOS'!$Z$14:$Z$18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81F8-4A0E-9AD1-2ACF256D659C}"/>
            </c:ext>
          </c:extLst>
        </c:ser>
        <c:ser>
          <c:idx val="4"/>
          <c:order val="2"/>
          <c:tx>
            <c:v>BRECHA NEGATIVA</c:v>
          </c:tx>
          <c:spPr>
            <a:solidFill>
              <a:srgbClr val="C00000"/>
            </a:solidFill>
            <a:ln w="6350">
              <a:noFill/>
            </a:ln>
            <a:effectLst/>
          </c:spPr>
          <c:invertIfNegative val="0"/>
          <c:dLbls>
            <c:dLbl>
              <c:idx val="0"/>
              <c:layout>
                <c:manualLayout>
                  <c:x val="1.53380928004649E-2"/>
                  <c:y val="-2.25373285595473E-2"/>
                </c:manualLayout>
              </c:layout>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BB8-4140-A815-D0BCE98F44AF}"/>
                </c:ext>
              </c:extLst>
            </c:dLbl>
            <c:dLbl>
              <c:idx val="1"/>
              <c:layout>
                <c:manualLayout>
                  <c:x val="2.8485029486577499E-2"/>
                  <c:y val="-2.00331809418198E-2"/>
                </c:manualLayout>
              </c:layout>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BB8-4140-A815-D0BCE98F44AF}"/>
                </c:ext>
              </c:extLst>
            </c:dLbl>
            <c:dLbl>
              <c:idx val="2"/>
              <c:delete val="1"/>
              <c:extLst>
                <c:ext xmlns:c15="http://schemas.microsoft.com/office/drawing/2012/chart" uri="{CE6537A1-D6FC-4f65-9D91-7224C49458BB}"/>
                <c:ext xmlns:c16="http://schemas.microsoft.com/office/drawing/2014/chart" uri="{C3380CC4-5D6E-409C-BE32-E72D297353CC}">
                  <c16:uniqueId val="{00000002-2BB8-4140-A815-D0BCE98F44AF}"/>
                </c:ext>
              </c:extLst>
            </c:dLbl>
            <c:dLbl>
              <c:idx val="3"/>
              <c:layout>
                <c:manualLayout>
                  <c:x val="4.3823122287042502E-3"/>
                  <c:y val="-2.25373285595473E-2"/>
                </c:manualLayout>
              </c:layout>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BB8-4140-A815-D0BCE98F44AF}"/>
                </c:ext>
              </c:extLst>
            </c:dLbl>
            <c:dLbl>
              <c:idx val="4"/>
              <c:layout>
                <c:manualLayout>
                  <c:x val="2.84850294865776E-2"/>
                  <c:y val="-1.7393339114156699E-2"/>
                </c:manualLayout>
              </c:layout>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rgbClr val="000000"/>
                      </a:solidFill>
                      <a:latin typeface="+mn-lt"/>
                      <a:ea typeface="+mn-ea"/>
                      <a:cs typeface="+mn-cs"/>
                    </a:defRPr>
                  </a:pPr>
                  <a:endParaRPr lang="es-CO"/>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BB8-4140-A815-D0BCE98F44AF}"/>
                </c:ext>
              </c:extLst>
            </c:dLbl>
            <c:dLbl>
              <c:idx val="6"/>
              <c:layout>
                <c:manualLayout>
                  <c:x val="6.5734683430563696E-3"/>
                  <c:y val="-9.9390509223752296E-3"/>
                </c:manualLayout>
              </c:layout>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BB8-4140-A815-D0BCE98F44AF}"/>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bg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PRODUCTOS'!$U$14:$U$18</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PRODUCTOS'!$AA$14:$AA$18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9-81F8-4A0E-9AD1-2ACF256D659C}"/>
            </c:ext>
          </c:extLst>
        </c:ser>
        <c:ser>
          <c:idx val="5"/>
          <c:order val="3"/>
          <c:tx>
            <c:v>SIN BRECHA</c:v>
          </c:tx>
          <c:spPr>
            <a:solidFill>
              <a:schemeClr val="accent6"/>
            </a:solidFill>
            <a:ln w="6350">
              <a:noFill/>
            </a:ln>
            <a:effectLst/>
          </c:spPr>
          <c:invertIfNegative val="0"/>
          <c:cat>
            <c:strRef>
              <c:f>'Cálculos PRODUCTOS'!$U$14:$U$18</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PRODUCTOS'!$AB$14:$AB$18</c:f>
              <c:numCache>
                <c:formatCode>0.0%</c:formatCode>
                <c:ptCount val="5"/>
                <c:pt idx="0">
                  <c:v>0</c:v>
                </c:pt>
                <c:pt idx="1">
                  <c:v>0</c:v>
                </c:pt>
                <c:pt idx="2">
                  <c:v>0</c:v>
                </c:pt>
                <c:pt idx="3">
                  <c:v>0</c:v>
                </c:pt>
              </c:numCache>
            </c:numRef>
          </c:val>
          <c:extLst>
            <c:ext xmlns:c16="http://schemas.microsoft.com/office/drawing/2014/chart" uri="{C3380CC4-5D6E-409C-BE32-E72D297353CC}">
              <c16:uniqueId val="{0000000A-81F8-4A0E-9AD1-2ACF256D659C}"/>
            </c:ext>
          </c:extLst>
        </c:ser>
        <c:dLbls>
          <c:showLegendKey val="0"/>
          <c:showVal val="0"/>
          <c:showCatName val="0"/>
          <c:showSerName val="0"/>
          <c:showPercent val="0"/>
          <c:showBubbleSize val="0"/>
        </c:dLbls>
        <c:gapWidth val="152"/>
        <c:overlap val="100"/>
        <c:axId val="41053219"/>
        <c:axId val="51213547"/>
      </c:barChart>
      <c:barChart>
        <c:barDir val="bar"/>
        <c:grouping val="clustered"/>
        <c:varyColors val="0"/>
        <c:ser>
          <c:idx val="1"/>
          <c:order val="4"/>
          <c:tx>
            <c:v>TRAYECTORIA IDEAL VIGENCIA</c:v>
          </c:tx>
          <c:spPr>
            <a:solidFill>
              <a:srgbClr val="92D05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PRODUCTOS'!$W$14:$W$18</c:f>
              <c:numCache>
                <c:formatCode>0.00%</c:formatCode>
                <c:ptCount val="5"/>
                <c:pt idx="0">
                  <c:v>0.22</c:v>
                </c:pt>
                <c:pt idx="1">
                  <c:v>0.2</c:v>
                </c:pt>
                <c:pt idx="2">
                  <c:v>0.15000000000000002</c:v>
                </c:pt>
                <c:pt idx="3">
                  <c:v>0.13</c:v>
                </c:pt>
                <c:pt idx="4">
                  <c:v>0.13</c:v>
                </c:pt>
              </c:numCache>
            </c:numRef>
          </c:val>
          <c:extLst>
            <c:ext xmlns:c16="http://schemas.microsoft.com/office/drawing/2014/chart" uri="{C3380CC4-5D6E-409C-BE32-E72D297353CC}">
              <c16:uniqueId val="{0000000B-81F8-4A0E-9AD1-2ACF256D659C}"/>
            </c:ext>
          </c:extLst>
        </c:ser>
        <c:ser>
          <c:idx val="0"/>
          <c:order val="5"/>
          <c:tx>
            <c:v>AVANCE ACUMULADO </c:v>
          </c:tx>
          <c:spPr>
            <a:solidFill>
              <a:schemeClr val="accent1">
                <a:lumMod val="60000"/>
                <a:lumOff val="40000"/>
              </a:schemeClr>
            </a:solidFill>
            <a:ln w="6350">
              <a:noFill/>
            </a:ln>
            <a:effectLst/>
          </c:spPr>
          <c:invertIfNegative val="0"/>
          <c:dLbls>
            <c:dLbl>
              <c:idx val="1"/>
              <c:layout>
                <c:manualLayout>
                  <c:x val="-7.483504440510399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BB8-4140-A815-D0BCE98F44AF}"/>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PRODUCTOS'!$U$5:$U$10</c:f>
              <c:strCache>
                <c:ptCount val="5"/>
                <c:pt idx="0">
                  <c:v>1. Promover la participación</c:v>
                </c:pt>
                <c:pt idx="1">
                  <c:v>2. Fortalecer la Gobernanza</c:v>
                </c:pt>
                <c:pt idx="2">
                  <c:v>3. Promover la formación</c:v>
                </c:pt>
                <c:pt idx="3">
                  <c:v>4. Optimizar la comunicación</c:v>
                </c:pt>
                <c:pt idx="4">
                  <c:v>5. Mejorar los parques , escenarios y equipamientos recreativos y deportivos</c:v>
                </c:pt>
              </c:strCache>
            </c:strRef>
          </c:cat>
          <c:val>
            <c:numRef>
              <c:f>'Cálculos PRODUCTOS'!$V$14:$V$18</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D-81F8-4A0E-9AD1-2ACF256D659C}"/>
            </c:ext>
          </c:extLst>
        </c:ser>
        <c:dLbls>
          <c:showLegendKey val="0"/>
          <c:showVal val="0"/>
          <c:showCatName val="0"/>
          <c:showSerName val="0"/>
          <c:showPercent val="0"/>
          <c:showBubbleSize val="0"/>
        </c:dLbls>
        <c:gapWidth val="152"/>
        <c:axId val="40546228"/>
        <c:axId val="18259134"/>
      </c:barChart>
      <c:catAx>
        <c:axId val="410532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51213547"/>
        <c:crosses val="autoZero"/>
        <c:auto val="1"/>
        <c:lblAlgn val="ctr"/>
        <c:lblOffset val="100"/>
        <c:noMultiLvlLbl val="0"/>
      </c:catAx>
      <c:valAx>
        <c:axId val="5121354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41053219"/>
        <c:crosses val="autoZero"/>
        <c:crossBetween val="between"/>
      </c:valAx>
      <c:catAx>
        <c:axId val="40546228"/>
        <c:scaling>
          <c:orientation val="minMax"/>
        </c:scaling>
        <c:delete val="1"/>
        <c:axPos val="l"/>
        <c:numFmt formatCode="General" sourceLinked="1"/>
        <c:majorTickMark val="out"/>
        <c:minorTickMark val="none"/>
        <c:tickLblPos val="nextTo"/>
        <c:crossAx val="18259134"/>
        <c:crosses val="autoZero"/>
        <c:auto val="1"/>
        <c:lblAlgn val="ctr"/>
        <c:lblOffset val="100"/>
        <c:noMultiLvlLbl val="0"/>
      </c:catAx>
      <c:valAx>
        <c:axId val="18259134"/>
        <c:scaling>
          <c:orientation val="minMax"/>
        </c:scaling>
        <c:delete val="0"/>
        <c:axPos val="t"/>
        <c:numFmt formatCode="0.00%" sourceLinked="1"/>
        <c:majorTickMark val="out"/>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40546228"/>
        <c:crosses val="max"/>
        <c:crossBetween val="between"/>
      </c:valAx>
      <c:spPr>
        <a:noFill/>
        <a:ln w="6350">
          <a:noFill/>
        </a:ln>
        <a:effectLst/>
      </c:spPr>
    </c:plotArea>
    <c:legend>
      <c:legendPos val="b"/>
      <c:legendEntry>
        <c:idx val="0"/>
        <c:delete val="1"/>
      </c:legendEntry>
      <c:legendEntry>
        <c:idx val="3"/>
        <c:delete val="1"/>
      </c:legendEntry>
      <c:overlay val="0"/>
      <c:spPr>
        <a:noFill/>
        <a:ln w="6350">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r>
              <a:rPr lang="es-CO"/>
              <a:t>AVANCE HASTA LA VIGENCIA DE LA POLÍTICA</a:t>
            </a:r>
          </a:p>
        </c:rich>
      </c:tx>
      <c:overlay val="0"/>
      <c:spPr>
        <a:noFill/>
        <a:ln w="6350">
          <a:noFill/>
        </a:ln>
        <a:effectLst/>
      </c:spPr>
      <c:txPr>
        <a:bodyPr rot="0" spcFirstLastPara="1" vertOverflow="ellipsis" vert="horz" wrap="square" anchor="ctr" anchorCtr="1"/>
        <a:lstStyle/>
        <a:p>
          <a:pPr>
            <a:defRPr lang="es-CO"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2"/>
          <c:order val="0"/>
          <c:tx>
            <c:v>BASE</c:v>
          </c:tx>
          <c:spPr>
            <a:solidFill>
              <a:schemeClr val="accent3"/>
            </a:solidFill>
            <a:ln w="6350">
              <a:noFill/>
            </a:ln>
            <a:effectLst/>
          </c:spPr>
          <c:invertIfNegative val="0"/>
          <c:val>
            <c:numRef>
              <c:f>'Cálculos PRODUCTOS'!$O$6</c:f>
              <c:numCache>
                <c:formatCode>0.0%</c:formatCode>
                <c:ptCount val="1"/>
                <c:pt idx="0">
                  <c:v>0</c:v>
                </c:pt>
              </c:numCache>
            </c:numRef>
          </c:val>
          <c:extLst>
            <c:ext xmlns:c16="http://schemas.microsoft.com/office/drawing/2014/chart" uri="{C3380CC4-5D6E-409C-BE32-E72D297353CC}">
              <c16:uniqueId val="{00000000-148B-468F-94E4-687C06A3531F}"/>
            </c:ext>
          </c:extLst>
        </c:ser>
        <c:ser>
          <c:idx val="3"/>
          <c:order val="1"/>
          <c:tx>
            <c:v> BRECHA POSITIVA</c:v>
          </c:tx>
          <c:spPr>
            <a:solidFill>
              <a:srgbClr val="00B050"/>
            </a:solidFill>
            <a:ln w="6350">
              <a:noFill/>
            </a:ln>
            <a:effectLst/>
          </c:spPr>
          <c:invertIfNegative val="0"/>
          <c:val>
            <c:numRef>
              <c:f>'Cálculos PRODUCTOS'!$P$6</c:f>
              <c:numCache>
                <c:formatCode>0.0%</c:formatCode>
                <c:ptCount val="1"/>
                <c:pt idx="0">
                  <c:v>0</c:v>
                </c:pt>
              </c:numCache>
            </c:numRef>
          </c:val>
          <c:extLst>
            <c:ext xmlns:c16="http://schemas.microsoft.com/office/drawing/2014/chart" uri="{C3380CC4-5D6E-409C-BE32-E72D297353CC}">
              <c16:uniqueId val="{00000001-148B-468F-94E4-687C06A3531F}"/>
            </c:ext>
          </c:extLst>
        </c:ser>
        <c:ser>
          <c:idx val="4"/>
          <c:order val="2"/>
          <c:tx>
            <c:v>BRECHA NEGATIVA</c:v>
          </c:tx>
          <c:spPr>
            <a:solidFill>
              <a:srgbClr val="FF0000"/>
            </a:solidFill>
            <a:ln w="6350">
              <a:noFill/>
            </a:ln>
            <a:effectLst/>
          </c:spPr>
          <c:invertIfNegative val="0"/>
          <c:dLbls>
            <c:dLbl>
              <c:idx val="0"/>
              <c:layout>
                <c:manualLayout>
                  <c:x val="8.3919916958951193E-2"/>
                  <c:y val="-1.26021791330669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6CC-0440-BD42-DC4B2461C47C}"/>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'Cálculos PRODUCTOS'!$Q$6</c:f>
              <c:numCache>
                <c:formatCode>0.0%</c:formatCode>
                <c:ptCount val="1"/>
                <c:pt idx="0">
                  <c:v>0</c:v>
                </c:pt>
              </c:numCache>
            </c:numRef>
          </c:val>
          <c:extLst>
            <c:ext xmlns:c16="http://schemas.microsoft.com/office/drawing/2014/chart" uri="{C3380CC4-5D6E-409C-BE32-E72D297353CC}">
              <c16:uniqueId val="{00000003-148B-468F-94E4-687C06A3531F}"/>
            </c:ext>
          </c:extLst>
        </c:ser>
        <c:ser>
          <c:idx val="5"/>
          <c:order val="3"/>
          <c:tx>
            <c:v>SIN BRECHA</c:v>
          </c:tx>
          <c:spPr>
            <a:solidFill>
              <a:schemeClr val="accent6"/>
            </a:solidFill>
            <a:ln w="6350">
              <a:noFill/>
            </a:ln>
            <a:effectLst/>
          </c:spPr>
          <c:invertIfNegative val="0"/>
          <c:val>
            <c:numRef>
              <c:f>'Cálculos PRODUCTOS'!$R$6</c:f>
              <c:numCache>
                <c:formatCode>0.0%</c:formatCode>
                <c:ptCount val="1"/>
                <c:pt idx="0">
                  <c:v>0</c:v>
                </c:pt>
              </c:numCache>
            </c:numRef>
          </c:val>
          <c:extLst>
            <c:ext xmlns:c16="http://schemas.microsoft.com/office/drawing/2014/chart" uri="{C3380CC4-5D6E-409C-BE32-E72D297353CC}">
              <c16:uniqueId val="{00000004-148B-468F-94E4-687C06A3531F}"/>
            </c:ext>
          </c:extLst>
        </c:ser>
        <c:dLbls>
          <c:showLegendKey val="0"/>
          <c:showVal val="0"/>
          <c:showCatName val="0"/>
          <c:showSerName val="0"/>
          <c:showPercent val="0"/>
          <c:showBubbleSize val="0"/>
        </c:dLbls>
        <c:gapWidth val="150"/>
        <c:overlap val="100"/>
        <c:axId val="31073160"/>
        <c:axId val="6489482"/>
      </c:barChart>
      <c:barChart>
        <c:barDir val="col"/>
        <c:grouping val="clustered"/>
        <c:varyColors val="0"/>
        <c:ser>
          <c:idx val="1"/>
          <c:order val="4"/>
          <c:tx>
            <c:v>TRAYECTORIA IDEAL </c:v>
          </c:tx>
          <c:spPr>
            <a:solidFill>
              <a:srgbClr val="92D050"/>
            </a:solidFill>
            <a:ln w="6350">
              <a:noFill/>
            </a:ln>
            <a:effectLst/>
          </c:spPr>
          <c:invertIfNegative val="0"/>
          <c:dPt>
            <c:idx val="0"/>
            <c:invertIfNegative val="0"/>
            <c:bubble3D val="0"/>
            <c:spPr>
              <a:solidFill>
                <a:srgbClr val="92D050"/>
              </a:solidFill>
              <a:ln w="6350">
                <a:noFill/>
              </a:ln>
              <a:effectLst/>
            </c:spPr>
            <c:extLst>
              <c:ext xmlns:c16="http://schemas.microsoft.com/office/drawing/2014/chart" uri="{C3380CC4-5D6E-409C-BE32-E72D297353CC}">
                <c16:uniqueId val="{00000002-16CC-0440-BD42-DC4B2461C47C}"/>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AVANCE POLÍTICA PÚBLICA</c:v>
              </c:pt>
            </c:strLit>
          </c:cat>
          <c:val>
            <c:numRef>
              <c:f>'Cálculos PRODUCTOS'!$M$6</c:f>
              <c:numCache>
                <c:formatCode>0.0%</c:formatCode>
                <c:ptCount val="1"/>
                <c:pt idx="0">
                  <c:v>1</c:v>
                </c:pt>
              </c:numCache>
            </c:numRef>
          </c:val>
          <c:extLst>
            <c:ext xmlns:c16="http://schemas.microsoft.com/office/drawing/2014/chart" uri="{C3380CC4-5D6E-409C-BE32-E72D297353CC}">
              <c16:uniqueId val="{00000006-148B-468F-94E4-687C06A3531F}"/>
            </c:ext>
          </c:extLst>
        </c:ser>
        <c:ser>
          <c:idx val="0"/>
          <c:order val="5"/>
          <c:tx>
            <c:v>AVANCE ACUMULADO </c:v>
          </c:tx>
          <c:spPr>
            <a:solidFill>
              <a:schemeClr val="accent5">
                <a:lumMod val="40000"/>
                <a:lumOff val="60000"/>
              </a:schemeClr>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AVANCE POLÍTICA PÚBLICA</c:v>
              </c:pt>
            </c:strLit>
          </c:cat>
          <c:val>
            <c:numRef>
              <c:f>'Cálculos PRODUCTOS'!$L$6</c:f>
              <c:numCache>
                <c:formatCode>0.0%</c:formatCode>
                <c:ptCount val="1"/>
                <c:pt idx="0">
                  <c:v>0</c:v>
                </c:pt>
              </c:numCache>
            </c:numRef>
          </c:val>
          <c:extLst>
            <c:ext xmlns:c16="http://schemas.microsoft.com/office/drawing/2014/chart" uri="{C3380CC4-5D6E-409C-BE32-E72D297353CC}">
              <c16:uniqueId val="{00000007-148B-468F-94E4-687C06A3531F}"/>
            </c:ext>
          </c:extLst>
        </c:ser>
        <c:dLbls>
          <c:showLegendKey val="0"/>
          <c:showVal val="0"/>
          <c:showCatName val="0"/>
          <c:showSerName val="0"/>
          <c:showPercent val="0"/>
          <c:showBubbleSize val="0"/>
        </c:dLbls>
        <c:gapWidth val="150"/>
        <c:axId val="19163149"/>
        <c:axId val="37645137"/>
      </c:barChart>
      <c:catAx>
        <c:axId val="31073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6489482"/>
        <c:crosses val="autoZero"/>
        <c:auto val="1"/>
        <c:lblAlgn val="ctr"/>
        <c:lblOffset val="100"/>
        <c:noMultiLvlLbl val="0"/>
      </c:catAx>
      <c:valAx>
        <c:axId val="6489482"/>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31073160"/>
        <c:crosses val="autoZero"/>
        <c:crossBetween val="between"/>
      </c:valAx>
      <c:catAx>
        <c:axId val="19163149"/>
        <c:scaling>
          <c:orientation val="minMax"/>
        </c:scaling>
        <c:delete val="1"/>
        <c:axPos val="b"/>
        <c:numFmt formatCode="General" sourceLinked="1"/>
        <c:majorTickMark val="out"/>
        <c:minorTickMark val="none"/>
        <c:tickLblPos val="nextTo"/>
        <c:crossAx val="37645137"/>
        <c:crosses val="autoZero"/>
        <c:auto val="1"/>
        <c:lblAlgn val="ctr"/>
        <c:lblOffset val="100"/>
        <c:noMultiLvlLbl val="0"/>
      </c:catAx>
      <c:valAx>
        <c:axId val="37645137"/>
        <c:scaling>
          <c:orientation val="minMax"/>
          <c:min val="0"/>
        </c:scaling>
        <c:delete val="0"/>
        <c:axPos val="r"/>
        <c:numFmt formatCode="0.0%" sourceLinked="1"/>
        <c:majorTickMark val="out"/>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19163149"/>
        <c:crosses val="max"/>
        <c:crossBetween val="between"/>
      </c:valAx>
      <c:spPr>
        <a:noFill/>
        <a:ln w="6350">
          <a:noFill/>
        </a:ln>
        <a:effectLst/>
      </c:spPr>
    </c:plotArea>
    <c:legend>
      <c:legendPos val="b"/>
      <c:legendEntry>
        <c:idx val="0"/>
        <c:delete val="1"/>
      </c:legendEntry>
      <c:legendEntry>
        <c:idx val="3"/>
        <c:delete val="1"/>
      </c:legendEntry>
      <c:overlay val="0"/>
      <c:spPr>
        <a:noFill/>
        <a:ln w="6350">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MX" sz="1400" b="0" i="0" u="none" strike="noStrike" kern="1200" spc="0" baseline="0">
                <a:solidFill>
                  <a:srgbClr val="000000">
                    <a:lumMod val="65000"/>
                    <a:lumOff val="35000"/>
                  </a:srgbClr>
                </a:solidFill>
                <a:latin typeface="+mn-lt"/>
                <a:ea typeface="+mn-ea"/>
                <a:cs typeface="+mn-cs"/>
              </a:defRPr>
            </a:pPr>
            <a:r>
              <a:rPr lang="es-MX"/>
              <a:t>SEMÁFORO DE PRODUCTOS POR SECTOR RESPONSABLE ACUMULADO</a:t>
            </a:r>
          </a:p>
        </c:rich>
      </c:tx>
      <c:layout>
        <c:manualLayout>
          <c:xMode val="edge"/>
          <c:yMode val="edge"/>
          <c:x val="4.5610171096282903E-2"/>
          <c:y val="3.8366638546236703E-2"/>
        </c:manualLayout>
      </c:layout>
      <c:overlay val="0"/>
      <c:spPr>
        <a:noFill/>
        <a:ln w="6350">
          <a:noFill/>
        </a:ln>
        <a:effectLst/>
      </c:spPr>
      <c:txPr>
        <a:bodyPr rot="0" spcFirstLastPara="1" vertOverflow="ellipsis" vert="horz" wrap="square" anchor="ctr" anchorCtr="1"/>
        <a:lstStyle/>
        <a:p>
          <a:pPr>
            <a:defRPr lang="es-MX" sz="1400" b="0" i="0" u="none" strike="noStrike" kern="1200" spc="0" baseline="0">
              <a:solidFill>
                <a:srgbClr val="000000">
                  <a:lumMod val="65000"/>
                  <a:lumOff val="35000"/>
                </a:srgbClr>
              </a:solidFill>
              <a:latin typeface="+mn-lt"/>
              <a:ea typeface="+mn-ea"/>
              <a:cs typeface="+mn-cs"/>
            </a:defRPr>
          </a:pPr>
          <a:endParaRPr lang="es-CO"/>
        </a:p>
      </c:txPr>
    </c:title>
    <c:autoTitleDeleted val="0"/>
    <c:plotArea>
      <c:layout>
        <c:manualLayout>
          <c:layoutTarget val="inner"/>
          <c:xMode val="edge"/>
          <c:yMode val="edge"/>
          <c:x val="0.24552365151585101"/>
          <c:y val="9.3654781813225702E-2"/>
          <c:w val="0.72861327249446595"/>
          <c:h val="0.79422383676368202"/>
        </c:manualLayout>
      </c:layout>
      <c:barChart>
        <c:barDir val="bar"/>
        <c:grouping val="stacked"/>
        <c:varyColors val="0"/>
        <c:ser>
          <c:idx val="0"/>
          <c:order val="0"/>
          <c:tx>
            <c:v>Rojo</c:v>
          </c:tx>
          <c:spPr>
            <a:solidFill>
              <a:srgbClr val="C00000"/>
            </a:solidFill>
            <a:ln w="6350">
              <a:noFill/>
            </a:ln>
            <a:effectLst/>
          </c:spPr>
          <c:invertIfNegative val="0"/>
          <c:dLbls>
            <c:dLbl>
              <c:idx val="7"/>
              <c:layout>
                <c:manualLayout>
                  <c:x val="2.3348442410699101E-3"/>
                  <c:y val="7.19374472741938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60-A345-A984-C275EA2A3459}"/>
                </c:ext>
              </c:extLst>
            </c:dLbl>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PRODUCTOS'!$AD$6:$AD$13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PRODUCTOS'!$AF$6:$AF$13</c:f>
              <c:numCache>
                <c:formatCode>General</c:formatCode>
                <c:ptCount val="8"/>
                <c:pt idx="0">
                  <c:v>1</c:v>
                </c:pt>
                <c:pt idx="1">
                  <c:v>1</c:v>
                </c:pt>
                <c:pt idx="2">
                  <c:v>1</c:v>
                </c:pt>
                <c:pt idx="3">
                  <c:v>2</c:v>
                </c:pt>
                <c:pt idx="4">
                  <c:v>2</c:v>
                </c:pt>
                <c:pt idx="5">
                  <c:v>2</c:v>
                </c:pt>
                <c:pt idx="6">
                  <c:v>3</c:v>
                </c:pt>
                <c:pt idx="7">
                  <c:v>18</c:v>
                </c:pt>
              </c:numCache>
            </c:numRef>
          </c:val>
          <c:extLst>
            <c:ext xmlns:c16="http://schemas.microsoft.com/office/drawing/2014/chart" uri="{C3380CC4-5D6E-409C-BE32-E72D297353CC}">
              <c16:uniqueId val="{00000000-DB05-449C-BBA5-62BA9D3E78BA}"/>
            </c:ext>
          </c:extLst>
        </c:ser>
        <c:ser>
          <c:idx val="1"/>
          <c:order val="1"/>
          <c:tx>
            <c:v>AMARILLO</c:v>
          </c:tx>
          <c:spPr>
            <a:solidFill>
              <a:srgbClr val="FFC00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PRODUCTOS'!$AD$6:$AD$13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PRODUCTOS'!$AE$6:$AE$13</c:f>
              <c:numCache>
                <c:formatCode>General</c:formatCode>
                <c:ptCount val="8"/>
                <c:pt idx="0">
                  <c:v>1</c:v>
                </c:pt>
                <c:pt idx="1">
                  <c:v>1</c:v>
                </c:pt>
                <c:pt idx="2">
                  <c:v>1</c:v>
                </c:pt>
                <c:pt idx="3">
                  <c:v>2</c:v>
                </c:pt>
                <c:pt idx="4">
                  <c:v>2</c:v>
                </c:pt>
                <c:pt idx="5">
                  <c:v>2</c:v>
                </c:pt>
                <c:pt idx="6">
                  <c:v>3</c:v>
                </c:pt>
                <c:pt idx="7">
                  <c:v>18</c:v>
                </c:pt>
              </c:numCache>
            </c:numRef>
          </c:val>
          <c:extLst>
            <c:ext xmlns:c16="http://schemas.microsoft.com/office/drawing/2014/chart" uri="{C3380CC4-5D6E-409C-BE32-E72D297353CC}">
              <c16:uniqueId val="{00000001-DB05-449C-BBA5-62BA9D3E78BA}"/>
            </c:ext>
          </c:extLst>
        </c:ser>
        <c:ser>
          <c:idx val="2"/>
          <c:order val="2"/>
          <c:tx>
            <c:v>Verdes</c:v>
          </c:tx>
          <c:spPr>
            <a:solidFill>
              <a:srgbClr val="92D05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'Cálculos PRODUCTOS'!$AD$6:$AD$13</c:f>
              <c:strCache>
                <c:ptCount val="8"/>
                <c:pt idx="0">
                  <c:v>Educación </c:v>
                </c:pt>
                <c:pt idx="1">
                  <c:v>Salud</c:v>
                </c:pt>
                <c:pt idx="2">
                  <c:v>Gestión Pública </c:v>
                </c:pt>
                <c:pt idx="3">
                  <c:v>Seguridad, Convivencia y Justicia</c:v>
                </c:pt>
                <c:pt idx="4">
                  <c:v>Integración Social</c:v>
                </c:pt>
                <c:pt idx="5">
                  <c:v>Gobierno</c:v>
                </c:pt>
                <c:pt idx="6">
                  <c:v>Ambiente</c:v>
                </c:pt>
                <c:pt idx="7">
                  <c:v>Cultura, Recreación y Deporte </c:v>
                </c:pt>
              </c:strCache>
            </c:strRef>
          </c:cat>
          <c:val>
            <c:numRef>
              <c:f>'Cálculos PRODUCTOS'!$AG$6:$AG$13</c:f>
              <c:numCache>
                <c:formatCode>General</c:formatCode>
                <c:ptCount val="8"/>
              </c:numCache>
            </c:numRef>
          </c:val>
          <c:extLst>
            <c:ext xmlns:c16="http://schemas.microsoft.com/office/drawing/2014/chart" uri="{C3380CC4-5D6E-409C-BE32-E72D297353CC}">
              <c16:uniqueId val="{00000002-DB05-449C-BBA5-62BA9D3E78BA}"/>
            </c:ext>
          </c:extLst>
        </c:ser>
        <c:dLbls>
          <c:showLegendKey val="0"/>
          <c:showVal val="0"/>
          <c:showCatName val="0"/>
          <c:showSerName val="0"/>
          <c:showPercent val="0"/>
          <c:showBubbleSize val="0"/>
        </c:dLbls>
        <c:gapWidth val="152"/>
        <c:overlap val="100"/>
        <c:axId val="31014806"/>
        <c:axId val="2696476"/>
      </c:barChart>
      <c:catAx>
        <c:axId val="3101480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2696476"/>
        <c:crosses val="autoZero"/>
        <c:auto val="1"/>
        <c:lblAlgn val="ctr"/>
        <c:lblOffset val="100"/>
        <c:noMultiLvlLbl val="0"/>
      </c:catAx>
      <c:valAx>
        <c:axId val="269647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lang="en-US" sz="1000" b="0" i="0" u="none" strike="noStrike" kern="1200" baseline="0">
                    <a:solidFill>
                      <a:schemeClr val="tx1">
                        <a:lumMod val="65000"/>
                        <a:lumOff val="35000"/>
                      </a:schemeClr>
                    </a:solidFill>
                    <a:latin typeface="+mn-lt"/>
                    <a:ea typeface="+mn-ea"/>
                    <a:cs typeface="+mn-cs"/>
                  </a:defRPr>
                </a:pPr>
                <a:r>
                  <a:rPr lang="en-US"/>
                  <a:t>Número de Productos por color de semáforo</a:t>
                </a:r>
              </a:p>
            </c:rich>
          </c:tx>
          <c:overlay val="0"/>
          <c:spPr>
            <a:noFill/>
            <a:ln w="6350">
              <a:noFill/>
            </a:ln>
            <a:effectLst/>
          </c:spPr>
          <c:txPr>
            <a:bodyPr rot="0" spcFirstLastPara="1" vertOverflow="ellipsis" vert="horz" wrap="square" anchor="ctr" anchorCtr="1"/>
            <a:lstStyle/>
            <a:p>
              <a:pPr>
                <a:defRPr lang="en-US"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s-CO"/>
          </a:p>
        </c:txPr>
        <c:crossAx val="31014806"/>
        <c:crosses val="autoZero"/>
        <c:crossBetween val="between"/>
      </c:valAx>
      <c:spPr>
        <a:noFill/>
        <a:ln w="635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184896</xdr:colOff>
      <xdr:row>0</xdr:row>
      <xdr:rowOff>274544</xdr:rowOff>
    </xdr:from>
    <xdr:to>
      <xdr:col>2</xdr:col>
      <xdr:colOff>1765874</xdr:colOff>
      <xdr:row>3</xdr:row>
      <xdr:rowOff>174730</xdr:rowOff>
    </xdr:to>
    <xdr:pic>
      <xdr:nvPicPr>
        <xdr:cNvPr id="2" name="Imagen 1">
          <a:extLst>
            <a:ext uri="{FF2B5EF4-FFF2-40B4-BE49-F238E27FC236}">
              <a16:creationId xmlns:a16="http://schemas.microsoft.com/office/drawing/2014/main" id="{C244889D-2906-49D4-9B3A-E0233FD4E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1485900" y="276225"/>
          <a:ext cx="158115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304800</xdr:colOff>
      <xdr:row>0</xdr:row>
      <xdr:rowOff>0</xdr:rowOff>
    </xdr:from>
    <xdr:to>
      <xdr:col>10</xdr:col>
      <xdr:colOff>834398</xdr:colOff>
      <xdr:row>2</xdr:row>
      <xdr:rowOff>249685</xdr:rowOff>
    </xdr:to>
    <xdr:pic>
      <xdr:nvPicPr>
        <xdr:cNvPr id="2" name="Imagen 1">
          <a:extLst>
            <a:ext uri="{FF2B5EF4-FFF2-40B4-BE49-F238E27FC236}">
              <a16:creationId xmlns:a16="http://schemas.microsoft.com/office/drawing/2014/main" id="{17D3CBF7-A572-4F29-A2AB-D07CE6C52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10868025" y="0"/>
          <a:ext cx="1571625" cy="866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136969</xdr:rowOff>
    </xdr:from>
    <xdr:to>
      <xdr:col>1</xdr:col>
      <xdr:colOff>1136650</xdr:colOff>
      <xdr:row>0</xdr:row>
      <xdr:rowOff>658368</xdr:rowOff>
    </xdr:to>
    <xdr:sp macro="" textlink="">
      <xdr:nvSpPr>
        <xdr:cNvPr id="2" name="Rectangle: Rounded Corners 1">
          <a:extLst>
            <a:ext uri="{FF2B5EF4-FFF2-40B4-BE49-F238E27FC236}">
              <a16:creationId xmlns:a16="http://schemas.microsoft.com/office/drawing/2014/main" id="{F8E2CBA4-1D09-44F8-9A4B-ABA53B87CF95}"/>
            </a:ext>
          </a:extLst>
        </xdr:cNvPr>
        <xdr:cNvSpPr/>
      </xdr:nvSpPr>
      <xdr:spPr>
        <a:xfrm>
          <a:off x="0" y="133350"/>
          <a:ext cx="1638300" cy="523875"/>
        </a:xfrm>
        <a:prstGeom prst="roundRect">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s-CO" sz="1100">
              <a:solidFill>
                <a:schemeClr val="bg1"/>
              </a:solidFill>
            </a:rPr>
            <a:t>ACTUALIZAR TABLAS DINÁMICAS Y GRÁFICOS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524634</xdr:colOff>
      <xdr:row>1</xdr:row>
      <xdr:rowOff>7302</xdr:rowOff>
    </xdr:from>
    <xdr:to>
      <xdr:col>8</xdr:col>
      <xdr:colOff>186566</xdr:colOff>
      <xdr:row>18</xdr:row>
      <xdr:rowOff>65060</xdr:rowOff>
    </xdr:to>
    <xdr:graphicFrame macro="">
      <xdr:nvGraphicFramePr>
        <xdr:cNvPr id="2" name="Gráfico 5">
          <a:extLst>
            <a:ext uri="{FF2B5EF4-FFF2-40B4-BE49-F238E27FC236}">
              <a16:creationId xmlns:a16="http://schemas.microsoft.com/office/drawing/2014/main" id="{027E124C-DDE6-42B1-B985-5007B59941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441421</xdr:colOff>
      <xdr:row>0</xdr:row>
      <xdr:rowOff>154213</xdr:rowOff>
    </xdr:from>
    <xdr:to>
      <xdr:col>16</xdr:col>
      <xdr:colOff>59643</xdr:colOff>
      <xdr:row>18</xdr:row>
      <xdr:rowOff>41647</xdr:rowOff>
    </xdr:to>
    <xdr:graphicFrame macro="">
      <xdr:nvGraphicFramePr>
        <xdr:cNvPr id="3" name="Gráfico 8">
          <a:extLst>
            <a:ext uri="{FF2B5EF4-FFF2-40B4-BE49-F238E27FC236}">
              <a16:creationId xmlns:a16="http://schemas.microsoft.com/office/drawing/2014/main" id="{54763D08-CCE9-4830-B804-56093B5191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466274</xdr:colOff>
      <xdr:row>19</xdr:row>
      <xdr:rowOff>126657</xdr:rowOff>
    </xdr:from>
    <xdr:to>
      <xdr:col>16</xdr:col>
      <xdr:colOff>120992</xdr:colOff>
      <xdr:row>47</xdr:row>
      <xdr:rowOff>55220</xdr:rowOff>
    </xdr:to>
    <xdr:graphicFrame macro="">
      <xdr:nvGraphicFramePr>
        <xdr:cNvPr id="4" name="Gráfico 11">
          <a:extLst>
            <a:ext uri="{FF2B5EF4-FFF2-40B4-BE49-F238E27FC236}">
              <a16:creationId xmlns:a16="http://schemas.microsoft.com/office/drawing/2014/main" id="{E3C44543-C31E-4415-B788-64AB861E34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493346</xdr:colOff>
      <xdr:row>48</xdr:row>
      <xdr:rowOff>71133</xdr:rowOff>
    </xdr:from>
    <xdr:to>
      <xdr:col>16</xdr:col>
      <xdr:colOff>131885</xdr:colOff>
      <xdr:row>75</xdr:row>
      <xdr:rowOff>173405</xdr:rowOff>
    </xdr:to>
    <xdr:graphicFrame macro="">
      <xdr:nvGraphicFramePr>
        <xdr:cNvPr id="5" name="Gráfico 12">
          <a:extLst>
            <a:ext uri="{FF2B5EF4-FFF2-40B4-BE49-F238E27FC236}">
              <a16:creationId xmlns:a16="http://schemas.microsoft.com/office/drawing/2014/main" id="{45E38305-EB6C-47FE-A352-0636703349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507023</xdr:colOff>
      <xdr:row>77</xdr:row>
      <xdr:rowOff>52265</xdr:rowOff>
    </xdr:from>
    <xdr:to>
      <xdr:col>8</xdr:col>
      <xdr:colOff>155158</xdr:colOff>
      <xdr:row>105</xdr:row>
      <xdr:rowOff>14533</xdr:rowOff>
    </xdr:to>
    <xdr:graphicFrame macro="">
      <xdr:nvGraphicFramePr>
        <xdr:cNvPr id="6" name="Gráfico 12">
          <a:extLst>
            <a:ext uri="{FF2B5EF4-FFF2-40B4-BE49-F238E27FC236}">
              <a16:creationId xmlns:a16="http://schemas.microsoft.com/office/drawing/2014/main" id="{9E265664-14EF-4677-8178-34378367AE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505127</xdr:colOff>
      <xdr:row>48</xdr:row>
      <xdr:rowOff>64937</xdr:rowOff>
    </xdr:from>
    <xdr:to>
      <xdr:col>8</xdr:col>
      <xdr:colOff>205154</xdr:colOff>
      <xdr:row>75</xdr:row>
      <xdr:rowOff>164473</xdr:rowOff>
    </xdr:to>
    <xdr:graphicFrame macro="">
      <xdr:nvGraphicFramePr>
        <xdr:cNvPr id="7" name="Gráfico 12">
          <a:extLst>
            <a:ext uri="{FF2B5EF4-FFF2-40B4-BE49-F238E27FC236}">
              <a16:creationId xmlns:a16="http://schemas.microsoft.com/office/drawing/2014/main" id="{E8151616-D4B2-47F2-8D12-0733A21C4B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512885</xdr:colOff>
      <xdr:row>19</xdr:row>
      <xdr:rowOff>107461</xdr:rowOff>
    </xdr:from>
    <xdr:to>
      <xdr:col>8</xdr:col>
      <xdr:colOff>167603</xdr:colOff>
      <xdr:row>47</xdr:row>
      <xdr:rowOff>36024</xdr:rowOff>
    </xdr:to>
    <xdr:graphicFrame macro="">
      <xdr:nvGraphicFramePr>
        <xdr:cNvPr id="8" name="Gráfico 11">
          <a:extLst>
            <a:ext uri="{FF2B5EF4-FFF2-40B4-BE49-F238E27FC236}">
              <a16:creationId xmlns:a16="http://schemas.microsoft.com/office/drawing/2014/main" id="{E4CB14BB-9F04-4E5F-9D15-DBC4640B69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483577</xdr:colOff>
      <xdr:row>77</xdr:row>
      <xdr:rowOff>48845</xdr:rowOff>
    </xdr:from>
    <xdr:to>
      <xdr:col>16</xdr:col>
      <xdr:colOff>131712</xdr:colOff>
      <xdr:row>105</xdr:row>
      <xdr:rowOff>11113</xdr:rowOff>
    </xdr:to>
    <xdr:graphicFrame macro="">
      <xdr:nvGraphicFramePr>
        <xdr:cNvPr id="9" name="Gráfico 12">
          <a:extLst>
            <a:ext uri="{FF2B5EF4-FFF2-40B4-BE49-F238E27FC236}">
              <a16:creationId xmlns:a16="http://schemas.microsoft.com/office/drawing/2014/main" id="{3E724125-EE90-4CBE-93D9-7819A6E62C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LUISA DIAZ" id="{0C0AE516-4C56-4A90-9D75-78D2E9B7264F}" userId="8a998e22f50be883" providerId="Windows Live"/>
  <person displayName="Raul Esteban Cuervo Sastoque" id="{876926FE-81CE-41BC-9D41-B9951FC6B7C2}" userId="b951ef51ad4328fe" providerId="Windows Live"/>
  <person displayName="Raul Esteban Cuervo Sastoque" id="{028CD91E-EBD3-454E-865D-C8D4C78E8F64}" userId="S::rcuervo@sdp.gov.co::9be8c33f-4082-43d1-ad72-4da96417806c" providerId="AD"/>
  <person displayName="LUISA FERNANDA DIAZ MORENO" id="{4AE09F0E-1AA0-4825-9AE0-B2EAD79FD5D7}" userId="S::lfdiazmoren@unadvirtual.edu.co::b004850f-9a4f-48d3-8d5d-42569d82889a"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osa Lima" refreshedDate="45996.35351400463" createdVersion="8" refreshedVersion="7" minRefreshableVersion="3" recordCount="30" xr:uid="{00000000-000A-0000-FFFF-FFFF06000000}">
  <cacheSource type="worksheet">
    <worksheetSource name="Panel_Control[]"/>
  </cacheSource>
  <cacheFields count="19">
    <cacheField name="Producto #" numFmtId="0">
      <sharedItems containsSemiMixedTypes="0" containsString="0" containsNumber="1" containsInteger="1" minValue="1" maxValue="30"/>
    </cacheField>
    <cacheField name="Key" numFmtId="0">
      <sharedItems count="7">
        <s v="1."/>
        <s v="2."/>
        <s v="3."/>
        <s v="4."/>
        <s v="5."/>
        <s v="" u="1"/>
        <e v="#REF!" u="1"/>
      </sharedItems>
    </cacheField>
    <cacheField name="Producto esperado" numFmtId="0">
      <sharedItems/>
    </cacheField>
    <cacheField name="Sector Líder" numFmtId="0">
      <sharedItems containsMixedTypes="1" containsNumber="1" containsInteger="1" minValue="0" maxValue="0" count="9">
        <s v="Gestión Pública "/>
        <s v="Cultura, Recreación y Deporte "/>
        <s v="Integración Social"/>
        <s v="Educación "/>
        <s v="Seguridad, Convivencia y Justicia"/>
        <s v="Ambiente"/>
        <s v="Gobierno"/>
        <s v="Salud"/>
        <n v="0" u="1"/>
      </sharedItems>
    </cacheField>
    <cacheField name="Ponderación relativa del Producto (%)" numFmtId="10">
      <sharedItems containsSemiMixedTypes="0" containsString="0" containsNumber="1" minValue="0.01" maxValue="0.08"/>
    </cacheField>
    <cacheField name="Porcentaje de avance durante la vigencia" numFmtId="165">
      <sharedItems containsMixedTypes="1" containsNumber="1" minValue="4.7961165048543686" maxValue="4.7961165048543686"/>
    </cacheField>
    <cacheField name="Semáforo de la Vigencia" numFmtId="0">
      <sharedItems/>
    </cacheField>
    <cacheField name="Porcentaje de Avance Hasta la Vigencia" numFmtId="165">
      <sharedItems containsMixedTypes="1" containsNumber="1" minValue="4.7961165048543686" maxValue="4.7961165048543686"/>
    </cacheField>
    <cacheField name="Semáforo Hasta la Vigencia" numFmtId="0">
      <sharedItems count="7">
        <e v="#NAME?"/>
        <s v="Verde" u="1"/>
        <e v="#REF!" u="1"/>
        <s v="Amarillo" u="1"/>
        <e v="#DIV/0!" u="1"/>
        <s v="Rojo" u="1"/>
        <e v="#VALUE!" u="1"/>
      </sharedItems>
    </cacheField>
    <cacheField name="Porcentaje de avance Acumulado" numFmtId="165">
      <sharedItems containsMixedTypes="1" containsNumber="1" minValue="2.9001956947162428" maxValue="2.9001956947162428"/>
    </cacheField>
    <cacheField name="Semáforo Acumulado" numFmtId="0">
      <sharedItems count="6">
        <e v="#NAME?"/>
        <s v="Verde" u="1"/>
        <e v="#REF!" u="1"/>
        <s v="Amarillo" u="1"/>
        <s v="Rojo" u="1"/>
        <e v="#VALUE!" u="1"/>
      </sharedItems>
    </cacheField>
    <cacheField name="PAV. Ajustado (100%)" numFmtId="165">
      <sharedItems containsMixedTypes="1" containsNumber="1" containsInteger="1" minValue="1" maxValue="1"/>
    </cacheField>
    <cacheField name="Porcentaje Vigencia  Ponderado" numFmtId="10">
      <sharedItems containsMixedTypes="1" containsNumber="1" minValue="0.01" maxValue="0.01"/>
    </cacheField>
    <cacheField name="Porcentaje de Avance Hasta la Vigencia (100%)" numFmtId="165">
      <sharedItems containsMixedTypes="1" containsNumber="1" containsInteger="1" minValue="1" maxValue="1"/>
    </cacheField>
    <cacheField name="Porcentaje Hasta la Vigencia Ponderado " numFmtId="10">
      <sharedItems containsMixedTypes="1" containsNumber="1" minValue="0.01" maxValue="0.01"/>
    </cacheField>
    <cacheField name="PAA. (100%)" numFmtId="165">
      <sharedItems containsMixedTypes="1" containsNumber="1" containsInteger="1" minValue="1" maxValue="1"/>
    </cacheField>
    <cacheField name="Porcentaje Acumulado Ponderado " numFmtId="10">
      <sharedItems containsMixedTypes="1" containsNumber="1" minValue="0.01" maxValue="0.01"/>
    </cacheField>
    <cacheField name="Trayectoria Acumulada (Avance ideal)" numFmtId="10">
      <sharedItems containsSemiMixedTypes="0" containsString="0" containsNumber="1" minValue="7.8125E-2" maxValue="1"/>
    </cacheField>
    <cacheField name="Trayectoria Ponderada" numFmtId="10">
      <sharedItems containsSemiMixedTypes="0" containsString="0" containsNumber="1" minValue="1.9211619514428594E-3" maxValue="7.0000000000000007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n v="1"/>
    <x v="0"/>
    <s v="1.1.1. Promoción y fortalecimiento de la actividad física para servidoras y servidores públicos del Distrito Capital"/>
    <x v="0"/>
    <n v="0.02"/>
    <e v="#NAME?"/>
    <e v="#NAME?"/>
    <e v="#NAME?"/>
    <x v="0"/>
    <e v="#NAME?"/>
    <x v="0"/>
    <e v="#NAME?"/>
    <e v="#NAME?"/>
    <e v="#NAME?"/>
    <e v="#NAME?"/>
    <e v="#NAME?"/>
    <e v="#NAME?"/>
    <n v="0.5"/>
    <n v="0.01"/>
  </r>
  <r>
    <n v="2"/>
    <x v="0"/>
    <s v="1.1.2. Medición de factores culturales asociados a las prácticas recreativas y deportivas en la ciudad                                                         "/>
    <x v="1"/>
    <n v="0.01"/>
    <e v="#NAME?"/>
    <e v="#NAME?"/>
    <e v="#NAME?"/>
    <x v="0"/>
    <e v="#NAME?"/>
    <x v="0"/>
    <e v="#NAME?"/>
    <e v="#NAME?"/>
    <e v="#NAME?"/>
    <e v="#NAME?"/>
    <e v="#NAME?"/>
    <e v="#NAME?"/>
    <n v="0.27272727272727271"/>
    <n v="2.7272727272727271E-3"/>
  </r>
  <r>
    <n v="3"/>
    <x v="0"/>
    <s v="1.1.3. Programas deportivos, recreativos y de actividad física en la atención de las diferentes poblaciones, en los espacios priorizados  para el desarrollo social integral."/>
    <x v="2"/>
    <n v="0.01"/>
    <e v="#NAME?"/>
    <e v="#NAME?"/>
    <e v="#NAME?"/>
    <x v="0"/>
    <e v="#NAME?"/>
    <x v="0"/>
    <e v="#NAME?"/>
    <e v="#NAME?"/>
    <e v="#NAME?"/>
    <e v="#NAME?"/>
    <e v="#NAME?"/>
    <e v="#NAME?"/>
    <n v="1"/>
    <n v="0.01"/>
  </r>
  <r>
    <n v="4"/>
    <x v="0"/>
    <s v="1.1.4. Medición de la práctica de actividad física en los beneficiarios que participan en los programas de la Subdirección Técnica de Recreación en relación a las recomendaciones vigentes de la Organización Mundial de la Salud - OMS_x000a_"/>
    <x v="1"/>
    <n v="0.01"/>
    <e v="#NAME?"/>
    <e v="#NAME?"/>
    <e v="#NAME?"/>
    <x v="0"/>
    <e v="#NAME?"/>
    <x v="0"/>
    <e v="#NAME?"/>
    <e v="#NAME?"/>
    <e v="#NAME?"/>
    <e v="#NAME?"/>
    <e v="#NAME?"/>
    <e v="#NAME?"/>
    <n v="0.19211619514428593"/>
    <n v="1.9211619514428594E-3"/>
  </r>
  <r>
    <n v="5"/>
    <x v="0"/>
    <s v="1.1.5 Centros de interés en deporte"/>
    <x v="3"/>
    <n v="0.01"/>
    <e v="#NAME?"/>
    <e v="#NAME?"/>
    <e v="#NAME?"/>
    <x v="0"/>
    <e v="#NAME?"/>
    <x v="0"/>
    <e v="#NAME?"/>
    <e v="#NAME?"/>
    <e v="#NAME?"/>
    <e v="#NAME?"/>
    <e v="#NAME?"/>
    <e v="#NAME?"/>
    <n v="0.2"/>
    <n v="2E-3"/>
  </r>
  <r>
    <n v="6"/>
    <x v="0"/>
    <s v="1.1.6. Intervenciones interinstitucionales para la seguridad y convivencia en entornos donde se adelantan actividades deportivas, recreativas y de actividad física, desde la perspectiva de la participación y la cultura ciudadana."/>
    <x v="4"/>
    <n v="0.01"/>
    <e v="#NAME?"/>
    <e v="#NAME?"/>
    <e v="#NAME?"/>
    <x v="0"/>
    <e v="#NAME?"/>
    <x v="0"/>
    <e v="#NAME?"/>
    <e v="#NAME?"/>
    <e v="#NAME?"/>
    <e v="#NAME?"/>
    <e v="#NAME?"/>
    <e v="#NAME?"/>
    <n v="0.2"/>
    <n v="2E-3"/>
  </r>
  <r>
    <n v="7"/>
    <x v="0"/>
    <s v="1.1.7. Acciones interinstitucionales de control y registro en parques priorizados en la ciudad, que aporten a la disuasión del delito y lograr entornos más seguros y confiables "/>
    <x v="4"/>
    <n v="0.01"/>
    <e v="#NAME?"/>
    <e v="#NAME?"/>
    <e v="#NAME?"/>
    <x v="0"/>
    <e v="#NAME?"/>
    <x v="0"/>
    <e v="#NAME?"/>
    <e v="#NAME?"/>
    <e v="#NAME?"/>
    <e v="#NAME?"/>
    <e v="#NAME?"/>
    <e v="#NAME?"/>
    <n v="0.27272727272727271"/>
    <n v="2.7272727272727271E-3"/>
  </r>
  <r>
    <n v="8"/>
    <x v="0"/>
    <s v="1.1.8. Estrategias deportivas para adolescentes y jóvenes en el Marco del Modelo Pedagógico del Instituto Distrital para la Protecciòn de la Niñez  y la Juventud - IDIPRON"/>
    <x v="2"/>
    <n v="0.01"/>
    <n v="4.7961165048543686"/>
    <e v="#NAME?"/>
    <n v="4.7961165048543686"/>
    <x v="0"/>
    <n v="2.9001956947162428"/>
    <x v="0"/>
    <n v="1"/>
    <n v="0.01"/>
    <n v="1"/>
    <n v="0.01"/>
    <n v="1"/>
    <n v="0.01"/>
    <n v="0.6046966731898239"/>
    <n v="6.046966731898239E-3"/>
  </r>
  <r>
    <n v="9"/>
    <x v="0"/>
    <s v="1.1.9 Programa Naturaleza, Salud y Cultura"/>
    <x v="5"/>
    <n v="0.02"/>
    <e v="#NAME?"/>
    <e v="#NAME?"/>
    <e v="#NAME?"/>
    <x v="0"/>
    <e v="#NAME?"/>
    <x v="0"/>
    <e v="#NAME?"/>
    <e v="#NAME?"/>
    <e v="#NAME?"/>
    <e v="#NAME?"/>
    <e v="#NAME?"/>
    <e v="#NAME?"/>
    <n v="0.65990474510495678"/>
    <n v="1.3198094902099135E-2"/>
  </r>
  <r>
    <n v="10"/>
    <x v="0"/>
    <s v="1.1.10 Formación de dinamizadores en el Diplomado del Programa de Naturaleza, Salud y Cultura"/>
    <x v="5"/>
    <n v="0.02"/>
    <e v="#NAME?"/>
    <e v="#NAME?"/>
    <e v="#NAME?"/>
    <x v="0"/>
    <e v="#NAME?"/>
    <x v="0"/>
    <e v="#NAME?"/>
    <e v="#NAME?"/>
    <e v="#NAME?"/>
    <e v="#NAME?"/>
    <e v="#NAME?"/>
    <e v="#NAME?"/>
    <n v="0.27272727272727271"/>
    <n v="5.4545454545454541E-3"/>
  </r>
  <r>
    <n v="11"/>
    <x v="0"/>
    <s v="1.1.11 Articulaciòn de Regiòn RAP-E y Regiòn Metropolitana Bogotá-Cundinamarca para incentivar el deporte la recreaciòn la actividad fìsica y el turismo en torno al uso de la bicicleta de montaña"/>
    <x v="1"/>
    <n v="0.02"/>
    <e v="#NAME?"/>
    <e v="#NAME?"/>
    <e v="#NAME?"/>
    <x v="0"/>
    <e v="#NAME?"/>
    <x v="0"/>
    <e v="#NAME?"/>
    <e v="#NAME?"/>
    <e v="#NAME?"/>
    <e v="#NAME?"/>
    <e v="#NAME?"/>
    <e v="#NAME?"/>
    <n v="0.27272727272727271"/>
    <n v="5.4545454545454541E-3"/>
  </r>
  <r>
    <n v="12"/>
    <x v="0"/>
    <s v="1.2.1. Organizaciones sociales y comunitarias que promueven el deporte en ruta de fortalecimiento _x000a_"/>
    <x v="6"/>
    <n v="0.04"/>
    <e v="#NAME?"/>
    <e v="#NAME?"/>
    <e v="#NAME?"/>
    <x v="0"/>
    <e v="#NAME?"/>
    <x v="0"/>
    <e v="#NAME?"/>
    <e v="#NAME?"/>
    <e v="#NAME?"/>
    <e v="#NAME?"/>
    <e v="#NAME?"/>
    <e v="#NAME?"/>
    <n v="0.70588235294117652"/>
    <n v="2.823529411764706E-2"/>
  </r>
  <r>
    <n v="13"/>
    <x v="0"/>
    <s v="1.2.2. Articulaciones generadas con el sector privado para el incremento de actividades recreativas, deportivas y de actividad física. _x000a_"/>
    <x v="1"/>
    <n v="0.03"/>
    <e v="#NAME?"/>
    <e v="#NAME?"/>
    <e v="#NAME?"/>
    <x v="0"/>
    <e v="#NAME?"/>
    <x v="0"/>
    <e v="#NAME?"/>
    <e v="#NAME?"/>
    <e v="#NAME?"/>
    <e v="#NAME?"/>
    <e v="#NAME?"/>
    <e v="#NAME?"/>
    <n v="0.26530612244897961"/>
    <n v="7.9591836734693878E-3"/>
  </r>
  <r>
    <n v="14"/>
    <x v="1"/>
    <s v="2.1.1 Medición de la participación de la economía del sector deporte en el PIB de la ciudad"/>
    <x v="1"/>
    <n v="0.05"/>
    <e v="#NAME?"/>
    <e v="#NAME?"/>
    <e v="#NAME?"/>
    <x v="0"/>
    <e v="#NAME?"/>
    <x v="0"/>
    <e v="#NAME?"/>
    <e v="#NAME?"/>
    <e v="#NAME?"/>
    <e v="#NAME?"/>
    <e v="#NAME?"/>
    <e v="#NAME?"/>
    <n v="0.33333333333333331"/>
    <n v="1.6666666666666666E-2"/>
  </r>
  <r>
    <n v="15"/>
    <x v="1"/>
    <s v="2.1.2. Agenda de trabajo colaborativa para el fortalecimiento de la economía del sector del deporte, recreación y actividad física "/>
    <x v="1"/>
    <n v="0.05"/>
    <e v="#NAME?"/>
    <e v="#NAME?"/>
    <e v="#NAME?"/>
    <x v="0"/>
    <e v="#NAME?"/>
    <x v="0"/>
    <e v="#NAME?"/>
    <e v="#NAME?"/>
    <e v="#NAME?"/>
    <e v="#NAME?"/>
    <e v="#NAME?"/>
    <e v="#NAME?"/>
    <n v="0.26923076923076922"/>
    <n v="1.3461538461538462E-2"/>
  </r>
  <r>
    <n v="16"/>
    <x v="1"/>
    <s v="2.2.1. Servicio Social Estudiantil en los componentes de Actividad Física, Recreación y Deporte desarrollados por el IDRD."/>
    <x v="1"/>
    <n v="0.03"/>
    <e v="#NAME?"/>
    <e v="#NAME?"/>
    <e v="#NAME?"/>
    <x v="0"/>
    <e v="#NAME?"/>
    <x v="0"/>
    <e v="#NAME?"/>
    <e v="#NAME?"/>
    <e v="#NAME?"/>
    <e v="#NAME?"/>
    <e v="#NAME?"/>
    <e v="#NAME?"/>
    <n v="0.25944584382871538"/>
    <n v="7.7833753148614611E-3"/>
  </r>
  <r>
    <n v="17"/>
    <x v="1"/>
    <s v="2.2.2.  Implementación de la etapa de talento y reserva  que contribuya al aumento de la base deportiva de Bogotá."/>
    <x v="1"/>
    <n v="0.04"/>
    <e v="#NAME?"/>
    <e v="#NAME?"/>
    <e v="#NAME?"/>
    <x v="0"/>
    <e v="#NAME?"/>
    <x v="0"/>
    <e v="#NAME?"/>
    <e v="#NAME?"/>
    <e v="#NAME?"/>
    <e v="#NAME?"/>
    <e v="#NAME?"/>
    <e v="#NAME?"/>
    <n v="0.26811594202898553"/>
    <n v="1.0724637681159421E-2"/>
  </r>
  <r>
    <n v="18"/>
    <x v="1"/>
    <s v="2.2.3. Articulaciones con el sector académico que permitan el intercambio de conocimientos y el desarrollo conjunto de procesos de formación y gestión del conocimiento en torno a la Actividad Física, la Recreación y el Deporte. "/>
    <x v="1"/>
    <n v="0.03"/>
    <e v="#NAME?"/>
    <e v="#NAME?"/>
    <e v="#NAME?"/>
    <x v="0"/>
    <e v="#NAME?"/>
    <x v="0"/>
    <e v="#NAME?"/>
    <e v="#NAME?"/>
    <e v="#NAME?"/>
    <e v="#NAME?"/>
    <e v="#NAME?"/>
    <e v="#NAME?"/>
    <n v="0.25862068965517243"/>
    <n v="7.7586206896551723E-3"/>
  </r>
  <r>
    <n v="19"/>
    <x v="2"/>
    <s v="3.1.1. Investigaciones asociadas a la práctica deportiva cuyos resultados aporten a la formación integral de niños, niñas, adolescentes y jóvenes"/>
    <x v="1"/>
    <n v="0.05"/>
    <e v="#NAME?"/>
    <e v="#NAME?"/>
    <e v="#NAME?"/>
    <x v="0"/>
    <e v="#NAME?"/>
    <x v="0"/>
    <e v="#NAME?"/>
    <e v="#NAME?"/>
    <e v="#NAME?"/>
    <e v="#NAME?"/>
    <e v="#NAME?"/>
    <e v="#NAME?"/>
    <n v="0.14285714285714285"/>
    <n v="7.1428571428571426E-3"/>
  </r>
  <r>
    <n v="20"/>
    <x v="2"/>
    <s v="3.1.2. Jornada de Intensificación de la Actividad Física desarrollada."/>
    <x v="7"/>
    <n v="0.05"/>
    <e v="#NAME?"/>
    <e v="#NAME?"/>
    <e v="#NAME?"/>
    <x v="0"/>
    <e v="#NAME?"/>
    <x v="0"/>
    <e v="#NAME?"/>
    <e v="#NAME?"/>
    <e v="#NAME?"/>
    <e v="#NAME?"/>
    <e v="#NAME?"/>
    <e v="#NAME?"/>
    <n v="1"/>
    <n v="0.05"/>
  </r>
  <r>
    <n v="21"/>
    <x v="2"/>
    <s v="3.1.3. Oferta de actividades en la Biblioteca Pública del Deporte y la Actividad Física, para la promoción de hábitos saludables y beneficios del deporte, a través de las practicas de lectura, escritura y oralidad."/>
    <x v="1"/>
    <n v="0.05"/>
    <e v="#NAME?"/>
    <e v="#NAME?"/>
    <e v="#NAME?"/>
    <x v="0"/>
    <e v="#NAME?"/>
    <x v="0"/>
    <e v="#NAME?"/>
    <e v="#NAME?"/>
    <e v="#NAME?"/>
    <e v="#NAME?"/>
    <e v="#NAME?"/>
    <e v="#NAME?"/>
    <n v="0.23809523809523808"/>
    <n v="1.1904761904761904E-2"/>
  </r>
  <r>
    <n v="22"/>
    <x v="3"/>
    <s v="4.1.1. Promoción y divulgación de campañas que incentiven la participación y la práctica deportiva."/>
    <x v="1"/>
    <n v="0.05"/>
    <e v="#NAME?"/>
    <e v="#NAME?"/>
    <e v="#NAME?"/>
    <x v="0"/>
    <e v="#NAME?"/>
    <x v="0"/>
    <e v="#NAME?"/>
    <e v="#NAME?"/>
    <e v="#NAME?"/>
    <e v="#NAME?"/>
    <e v="#NAME?"/>
    <e v="#NAME?"/>
    <n v="0.75"/>
    <n v="3.7500000000000006E-2"/>
  </r>
  <r>
    <n v="23"/>
    <x v="3"/>
    <s v="4.1.2. Divulgaciòn de actividades deportivas, recreativas, actividad fìsica, parques y escenarios "/>
    <x v="1"/>
    <n v="0.05"/>
    <e v="#NAME?"/>
    <e v="#NAME?"/>
    <e v="#NAME?"/>
    <x v="0"/>
    <e v="#NAME?"/>
    <x v="0"/>
    <e v="#NAME?"/>
    <e v="#NAME?"/>
    <e v="#NAME?"/>
    <e v="#NAME?"/>
    <e v="#NAME?"/>
    <e v="#NAME?"/>
    <n v="0.2"/>
    <n v="1.0000000000000002E-2"/>
  </r>
  <r>
    <n v="24"/>
    <x v="3"/>
    <s v="4.1.3. Mecanismo para la difusión de la oferta de las localidades relacionada con programas deportivos, recreativos y de actividad física implementados para las diferentes poblaciones, en los espacios priorizados."/>
    <x v="6"/>
    <n v="0.03"/>
    <e v="#NAME?"/>
    <e v="#NAME?"/>
    <e v="#NAME?"/>
    <x v="0"/>
    <e v="#NAME?"/>
    <x v="0"/>
    <e v="#NAME?"/>
    <e v="#NAME?"/>
    <e v="#NAME?"/>
    <e v="#NAME?"/>
    <e v="#NAME?"/>
    <e v="#NAME?"/>
    <n v="1"/>
    <n v="0.03"/>
  </r>
  <r>
    <n v="25"/>
    <x v="4"/>
    <s v="5.1.1. Alianzas suscritas  por el IDRD para el fortalecimiento del sistema de parques y escenarios deportivos de la ciudad.  "/>
    <x v="1"/>
    <n v="0.03"/>
    <e v="#NAME?"/>
    <e v="#NAME?"/>
    <e v="#NAME?"/>
    <x v="0"/>
    <e v="#NAME?"/>
    <x v="0"/>
    <e v="#NAME?"/>
    <e v="#NAME?"/>
    <e v="#NAME?"/>
    <e v="#NAME?"/>
    <e v="#NAME?"/>
    <e v="#NAME?"/>
    <n v="0.19630156472261737"/>
    <n v="5.889046941678521E-3"/>
  </r>
  <r>
    <n v="26"/>
    <x v="4"/>
    <s v="5.1.2 Intervenciones recreodeportivas en los espacios de influencia de los Distritos Creativos."/>
    <x v="1"/>
    <n v="0.02"/>
    <e v="#NAME?"/>
    <e v="#NAME?"/>
    <e v="#NAME?"/>
    <x v="0"/>
    <e v="#NAME?"/>
    <x v="0"/>
    <e v="#NAME?"/>
    <e v="#NAME?"/>
    <e v="#NAME?"/>
    <e v="#NAME?"/>
    <e v="#NAME?"/>
    <e v="#NAME?"/>
    <n v="0.2"/>
    <n v="4.0000000000000001E-3"/>
  </r>
  <r>
    <n v="27"/>
    <x v="4"/>
    <s v="5.1.3. Protocolo para el fomento del respeto a la diversidad poblacional y la prevención de violencias basadas en género  en los parques y escenarios administrados directamente por el IDRD"/>
    <x v="1"/>
    <n v="0.05"/>
    <e v="#NAME?"/>
    <e v="#NAME?"/>
    <e v="#NAME?"/>
    <x v="0"/>
    <e v="#NAME?"/>
    <x v="0"/>
    <e v="#NAME?"/>
    <e v="#NAME?"/>
    <e v="#NAME?"/>
    <e v="#NAME?"/>
    <e v="#NAME?"/>
    <e v="#NAME?"/>
    <n v="1"/>
    <n v="0.05"/>
  </r>
  <r>
    <n v="28"/>
    <x v="4"/>
    <s v="5.1.4. Parques y escenarios de administración directa del IDRD con oferta de conectividad digital para sus asistentes y el equipo técnico del IDRD."/>
    <x v="1"/>
    <n v="0.05"/>
    <e v="#NAME?"/>
    <e v="#NAME?"/>
    <e v="#NAME?"/>
    <x v="0"/>
    <e v="#NAME?"/>
    <x v="0"/>
    <e v="#NAME?"/>
    <e v="#NAME?"/>
    <e v="#NAME?"/>
    <e v="#NAME?"/>
    <e v="#NAME?"/>
    <e v="#NAME?"/>
    <n v="7.8125E-2"/>
    <n v="3.90625E-3"/>
  </r>
  <r>
    <n v="29"/>
    <x v="4"/>
    <s v="5.2.1. Estrategias de adaptación y  mitigación del cambio climático implementadas en el  sistema de parques y escenarios."/>
    <x v="1"/>
    <n v="0.08"/>
    <e v="#NAME?"/>
    <e v="#NAME?"/>
    <e v="#NAME?"/>
    <x v="0"/>
    <e v="#NAME?"/>
    <x v="0"/>
    <e v="#NAME?"/>
    <e v="#NAME?"/>
    <e v="#NAME?"/>
    <e v="#NAME?"/>
    <e v="#NAME?"/>
    <e v="#NAME?"/>
    <n v="0.19148936170212766"/>
    <n v="1.5319148936170214E-2"/>
  </r>
  <r>
    <n v="30"/>
    <x v="4"/>
    <s v="5.2.2 Intervenciones de siembra, cuidado y mantenimiento del arbolado en los parques existentes"/>
    <x v="5"/>
    <n v="7.0000000000000007E-2"/>
    <e v="#NAME?"/>
    <e v="#NAME?"/>
    <e v="#NAME?"/>
    <x v="0"/>
    <e v="#NAME?"/>
    <x v="0"/>
    <e v="#NAME?"/>
    <e v="#NAME?"/>
    <e v="#NAME?"/>
    <e v="#NAME?"/>
    <e v="#NAME?"/>
    <e v="#NAME?"/>
    <n v="1"/>
    <n v="7.0000000000000007E-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6" applyNumberFormats="0" applyBorderFormats="0" applyFontFormats="0" applyPatternFormats="0" applyAlignmentFormats="0" applyWidthHeightFormats="1" dataCaption="Valores" updatedVersion="7" useAutoFormatting="1" itemPrintTitles="1" createdVersion="8" indent="0" outline="1" outlineData="1" multipleFieldFilters="0">
  <location ref="E6:I12" firstHeaderRow="0" firstDataRow="1" firstDataCol="1"/>
  <pivotFields count="19">
    <pivotField showAll="0"/>
    <pivotField axis="axisRow" showAll="0">
      <items count="8">
        <item x="0"/>
        <item x="1"/>
        <item x="2"/>
        <item x="3"/>
        <item m="1" x="5"/>
        <item x="4"/>
        <item m="1" x="6"/>
        <item t="default"/>
      </items>
    </pivotField>
    <pivotField showAll="0"/>
    <pivotField showAll="0"/>
    <pivotField dataField="1" numFmtId="10"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numFmtId="10" showAll="0"/>
    <pivotField dataField="1" numFmtId="10" showAll="0"/>
  </pivotFields>
  <rowFields count="1">
    <field x="1"/>
  </rowFields>
  <rowItems count="6">
    <i>
      <x/>
    </i>
    <i>
      <x v="1"/>
    </i>
    <i>
      <x v="2"/>
    </i>
    <i>
      <x v="3"/>
    </i>
    <i>
      <x v="5"/>
    </i>
    <i t="grand">
      <x/>
    </i>
  </rowItems>
  <colFields count="1">
    <field x="-2"/>
  </colFields>
  <colItems count="4">
    <i>
      <x/>
    </i>
    <i i="1">
      <x v="1"/>
    </i>
    <i i="2">
      <x v="2"/>
    </i>
    <i i="3">
      <x v="3"/>
    </i>
  </colItems>
  <dataFields count="4">
    <dataField name="Suma de Porcentaje Acumulado Ponderado " fld="16" baseField="1" baseItem="0" numFmtId="10"/>
    <dataField name="Sum of Porcentaje Hasta la Vigencia Ponderado " fld="14" baseField="1" baseItem="3"/>
    <dataField name="Suma de Trayectoria Ponderada" fld="18" baseField="0" baseItem="0" numFmtId="10"/>
    <dataField name="Sum of Ponderación relativa del Producto (%)" fld="4" baseField="0" baseItem="0" numFmtId="10"/>
  </dataFields>
  <formats count="34">
    <format dxfId="135">
      <pivotArea outline="0" collapsedLevelsAreSubtotals="1" fieldPosition="0">
        <references count="1">
          <reference field="4294967294" count="1" selected="0">
            <x v="2"/>
          </reference>
        </references>
      </pivotArea>
    </format>
    <format dxfId="134">
      <pivotArea collapsedLevelsAreSubtotals="1" fieldPosition="0">
        <references count="2">
          <reference field="4294967294" count="1" selected="0">
            <x v="0"/>
          </reference>
          <reference field="1" count="0"/>
        </references>
      </pivotArea>
    </format>
    <format dxfId="133">
      <pivotArea outline="0" collapsedLevelsAreSubtotals="1" fieldPosition="0">
        <references count="1">
          <reference field="4294967294" count="1" selected="0">
            <x v="0"/>
          </reference>
        </references>
      </pivotArea>
    </format>
    <format dxfId="132">
      <pivotArea dataOnly="0" labelOnly="1" outline="0" fieldPosition="0">
        <references count="1">
          <reference field="4294967294" count="2">
            <x v="0"/>
            <x v="2"/>
          </reference>
        </references>
      </pivotArea>
    </format>
    <format dxfId="131">
      <pivotArea field="1" type="button" dataOnly="0" labelOnly="1" outline="0" axis="axisRow" fieldPosition="0"/>
    </format>
    <format dxfId="130">
      <pivotArea dataOnly="0" labelOnly="1" grandRow="1" outline="0" fieldPosition="0"/>
    </format>
    <format dxfId="129">
      <pivotArea type="all" dataOnly="0" outline="0" fieldPosition="0"/>
    </format>
    <format dxfId="128">
      <pivotArea outline="0" collapsedLevelsAreSubtotals="1" fieldPosition="0"/>
    </format>
    <format dxfId="127">
      <pivotArea field="1" type="button" dataOnly="0" labelOnly="1" outline="0" axis="axisRow" fieldPosition="0"/>
    </format>
    <format dxfId="126">
      <pivotArea dataOnly="0" labelOnly="1" fieldPosition="0">
        <references count="1">
          <reference field="1" count="0"/>
        </references>
      </pivotArea>
    </format>
    <format dxfId="125">
      <pivotArea dataOnly="0" labelOnly="1" grandRow="1" outline="0" fieldPosition="0"/>
    </format>
    <format dxfId="124">
      <pivotArea dataOnly="0" labelOnly="1" outline="0" fieldPosition="0">
        <references count="1">
          <reference field="4294967294" count="2">
            <x v="0"/>
            <x v="2"/>
          </reference>
        </references>
      </pivotArea>
    </format>
    <format dxfId="123">
      <pivotArea outline="0" collapsedLevelsAreSubtotals="1" fieldPosition="0">
        <references count="1">
          <reference field="4294967294" count="1" selected="0">
            <x v="0"/>
          </reference>
        </references>
      </pivotArea>
    </format>
    <format dxfId="122">
      <pivotArea dataOnly="0" labelOnly="1" outline="0" fieldPosition="0">
        <references count="1">
          <reference field="4294967294" count="1">
            <x v="0"/>
          </reference>
        </references>
      </pivotArea>
    </format>
    <format dxfId="121">
      <pivotArea grandRow="1" outline="0" collapsedLevelsAreSubtotals="1" fieldPosition="0"/>
    </format>
    <format dxfId="120">
      <pivotArea dataOnly="0" labelOnly="1" grandRow="1" outline="0" fieldPosition="0"/>
    </format>
    <format dxfId="119">
      <pivotArea collapsedLevelsAreSubtotals="1" fieldPosition="0">
        <references count="2">
          <reference field="4294967294" count="1" selected="0">
            <x v="1"/>
          </reference>
          <reference field="1" count="0"/>
        </references>
      </pivotArea>
    </format>
    <format dxfId="118">
      <pivotArea dataOnly="0" labelOnly="1" outline="0" fieldPosition="0">
        <references count="1">
          <reference field="4294967294" count="1">
            <x v="1"/>
          </reference>
        </references>
      </pivotArea>
    </format>
    <format dxfId="117">
      <pivotArea field="1" grandRow="1" outline="0" collapsedLevelsAreSubtotals="1" axis="axisRow" fieldPosition="0">
        <references count="1">
          <reference field="4294967294" count="1" selected="0">
            <x v="1"/>
          </reference>
        </references>
      </pivotArea>
    </format>
    <format dxfId="116">
      <pivotArea dataOnly="0" labelOnly="1" outline="0" fieldPosition="0">
        <references count="1">
          <reference field="4294967294" count="1">
            <x v="1"/>
          </reference>
        </references>
      </pivotArea>
    </format>
    <format dxfId="115">
      <pivotArea type="all" dataOnly="0" outline="0" fieldPosition="0"/>
    </format>
    <format dxfId="114">
      <pivotArea outline="0" collapsedLevelsAreSubtotals="1" fieldPosition="0"/>
    </format>
    <format dxfId="113">
      <pivotArea field="1" type="button" dataOnly="0" labelOnly="1" outline="0" axis="axisRow" fieldPosition="0"/>
    </format>
    <format dxfId="112">
      <pivotArea dataOnly="0" labelOnly="1" fieldPosition="0">
        <references count="1">
          <reference field="1" count="0"/>
        </references>
      </pivotArea>
    </format>
    <format dxfId="111">
      <pivotArea dataOnly="0" labelOnly="1" grandRow="1" outline="0" fieldPosition="0"/>
    </format>
    <format dxfId="110">
      <pivotArea dataOnly="0" labelOnly="1" outline="0" fieldPosition="0">
        <references count="1">
          <reference field="4294967294" count="3">
            <x v="0"/>
            <x v="1"/>
            <x v="2"/>
          </reference>
        </references>
      </pivotArea>
    </format>
    <format dxfId="109">
      <pivotArea type="all" dataOnly="0" outline="0" fieldPosition="0"/>
    </format>
    <format dxfId="108">
      <pivotArea outline="0" collapsedLevelsAreSubtotals="1" fieldPosition="0"/>
    </format>
    <format dxfId="107">
      <pivotArea field="1" type="button" dataOnly="0" labelOnly="1" outline="0" axis="axisRow" fieldPosition="0"/>
    </format>
    <format dxfId="106">
      <pivotArea dataOnly="0" labelOnly="1" fieldPosition="0">
        <references count="1">
          <reference field="1" count="0"/>
        </references>
      </pivotArea>
    </format>
    <format dxfId="105">
      <pivotArea dataOnly="0" labelOnly="1" grandRow="1" outline="0" fieldPosition="0"/>
    </format>
    <format dxfId="104">
      <pivotArea dataOnly="0" labelOnly="1" outline="0" fieldPosition="0">
        <references count="1">
          <reference field="4294967294" count="3">
            <x v="0"/>
            <x v="1"/>
            <x v="2"/>
          </reference>
        </references>
      </pivotArea>
    </format>
    <format dxfId="103">
      <pivotArea dataOnly="0" labelOnly="1" outline="0" fieldPosition="0">
        <references count="1">
          <reference field="4294967294" count="1">
            <x v="3"/>
          </reference>
        </references>
      </pivotArea>
    </format>
    <format dxfId="102">
      <pivotArea outline="0" collapsedLevelsAreSubtotals="1" fieldPosition="0">
        <references count="1">
          <reference field="4294967294"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TablaDinámica3" cacheId="6" applyNumberFormats="0" applyBorderFormats="0" applyFontFormats="0" applyPatternFormats="0" applyAlignmentFormats="0" applyWidthHeightFormats="1" dataCaption="Valores" updatedVersion="7" useAutoFormatting="1" itemPrintTitles="1" createdVersion="8" indent="0" outline="1" outlineData="1" multipleFieldFilters="0">
  <location ref="AJ4:AL14" firstHeaderRow="1" firstDataRow="2" firstDataCol="1"/>
  <pivotFields count="19">
    <pivotField showAll="0"/>
    <pivotField showAll="0"/>
    <pivotField showAll="0"/>
    <pivotField axis="axisRow" showAll="0" sortType="ascending">
      <items count="10">
        <item m="1" x="8"/>
        <item x="0"/>
        <item x="1"/>
        <item x="2"/>
        <item x="3"/>
        <item x="4"/>
        <item x="5"/>
        <item x="6"/>
        <item x="7"/>
        <item t="default"/>
      </items>
      <autoSortScope>
        <pivotArea dataOnly="0" outline="0" fieldPosition="0">
          <references count="1">
            <reference field="4294967294" count="1" selected="0">
              <x v="0"/>
            </reference>
          </references>
        </pivotArea>
      </autoSortScope>
    </pivotField>
    <pivotField numFmtId="10" showAll="0"/>
    <pivotField showAll="0"/>
    <pivotField showAll="0"/>
    <pivotField showAll="0"/>
    <pivotField axis="axisCol" dataField="1" showAll="0">
      <items count="8">
        <item m="1" x="5"/>
        <item m="1" x="1"/>
        <item m="1" x="3"/>
        <item m="1" x="6"/>
        <item m="1" x="4"/>
        <item m="1" x="2"/>
        <item x="0"/>
        <item t="default"/>
      </items>
    </pivotField>
    <pivotField showAll="0"/>
    <pivotField showAll="0"/>
    <pivotField showAll="0"/>
    <pivotField showAll="0"/>
    <pivotField showAll="0"/>
    <pivotField showAll="0"/>
    <pivotField showAll="0"/>
    <pivotField showAll="0"/>
    <pivotField numFmtId="10" showAll="0"/>
    <pivotField numFmtId="10" showAll="0"/>
  </pivotFields>
  <rowFields count="1">
    <field x="3"/>
  </rowFields>
  <rowItems count="9">
    <i>
      <x v="4"/>
    </i>
    <i>
      <x v="8"/>
    </i>
    <i>
      <x v="1"/>
    </i>
    <i>
      <x v="5"/>
    </i>
    <i>
      <x v="3"/>
    </i>
    <i>
      <x v="7"/>
    </i>
    <i>
      <x v="6"/>
    </i>
    <i>
      <x v="2"/>
    </i>
    <i t="grand">
      <x/>
    </i>
  </rowItems>
  <colFields count="1">
    <field x="8"/>
  </colFields>
  <colItems count="2">
    <i>
      <x v="6"/>
    </i>
    <i t="grand">
      <x/>
    </i>
  </colItems>
  <dataFields count="1">
    <dataField name="Count of Semáforo Hasta la Vigencia" fld="8" subtotal="count" baseField="0" baseItem="0"/>
  </dataFields>
  <formats count="21">
    <format dxfId="156">
      <pivotArea type="all" dataOnly="0" outline="0" fieldPosition="0"/>
    </format>
    <format dxfId="155">
      <pivotArea outline="0" collapsedLevelsAreSubtotals="1" fieldPosition="0"/>
    </format>
    <format dxfId="154">
      <pivotArea type="origin" dataOnly="0" labelOnly="1" outline="0" fieldPosition="0"/>
    </format>
    <format dxfId="153">
      <pivotArea field="8" type="button" dataOnly="0" labelOnly="1" outline="0" axis="axisCol" fieldPosition="0"/>
    </format>
    <format dxfId="152">
      <pivotArea type="topRight" dataOnly="0" labelOnly="1" outline="0" fieldPosition="0"/>
    </format>
    <format dxfId="151">
      <pivotArea field="3" type="button" dataOnly="0" labelOnly="1" outline="0" axis="axisRow" fieldPosition="0"/>
    </format>
    <format dxfId="150">
      <pivotArea dataOnly="0" labelOnly="1" fieldPosition="0">
        <references count="1">
          <reference field="3" count="0"/>
        </references>
      </pivotArea>
    </format>
    <format dxfId="149">
      <pivotArea dataOnly="0" labelOnly="1" grandRow="1" outline="0" fieldPosition="0"/>
    </format>
    <format dxfId="148">
      <pivotArea dataOnly="0" labelOnly="1" fieldPosition="0">
        <references count="1">
          <reference field="8" count="0"/>
        </references>
      </pivotArea>
    </format>
    <format dxfId="147">
      <pivotArea dataOnly="0" labelOnly="1" grandCol="1" outline="0" fieldPosition="0"/>
    </format>
    <format dxfId="146">
      <pivotArea type="all" dataOnly="0" outline="0" fieldPosition="0"/>
    </format>
    <format dxfId="145">
      <pivotArea outline="0" collapsedLevelsAreSubtotals="1" fieldPosition="0"/>
    </format>
    <format dxfId="144">
      <pivotArea type="origin" dataOnly="0" labelOnly="1" outline="0" fieldPosition="0"/>
    </format>
    <format dxfId="143">
      <pivotArea field="8" type="button" dataOnly="0" labelOnly="1" outline="0" axis="axisCol" fieldPosition="0"/>
    </format>
    <format dxfId="142">
      <pivotArea type="topRight" dataOnly="0" labelOnly="1" outline="0" fieldPosition="0"/>
    </format>
    <format dxfId="141">
      <pivotArea field="3" type="button" dataOnly="0" labelOnly="1" outline="0" axis="axisRow" fieldPosition="0"/>
    </format>
    <format dxfId="140">
      <pivotArea dataOnly="0" labelOnly="1" fieldPosition="0">
        <references count="1">
          <reference field="3" count="0"/>
        </references>
      </pivotArea>
    </format>
    <format dxfId="139">
      <pivotArea dataOnly="0" labelOnly="1" grandRow="1" outline="0" fieldPosition="0"/>
    </format>
    <format dxfId="138">
      <pivotArea dataOnly="0" labelOnly="1" fieldPosition="0">
        <references count="1">
          <reference field="8" count="0"/>
        </references>
      </pivotArea>
    </format>
    <format dxfId="137">
      <pivotArea dataOnly="0" labelOnly="1" grandCol="1" outline="0" fieldPosition="0"/>
    </format>
    <format dxfId="13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TablaDinámica2" cacheId="6" applyNumberFormats="0" applyBorderFormats="0" applyFontFormats="0" applyPatternFormats="0" applyAlignmentFormats="0" applyWidthHeightFormats="1" dataCaption="Valores" updatedVersion="7" useAutoFormatting="1" itemPrintTitles="1" createdVersion="8" indent="0" outline="1" outlineData="1" multipleFieldFilters="0">
  <location ref="AD4:AF14" firstHeaderRow="1" firstDataRow="2" firstDataCol="1"/>
  <pivotFields count="19">
    <pivotField showAll="0"/>
    <pivotField showAll="0"/>
    <pivotField showAll="0"/>
    <pivotField axis="axisRow" showAll="0" sortType="ascending">
      <items count="10">
        <item m="1" x="8"/>
        <item x="0"/>
        <item x="1"/>
        <item x="2"/>
        <item x="3"/>
        <item x="4"/>
        <item x="5"/>
        <item x="6"/>
        <item x="7"/>
        <item t="default"/>
      </items>
      <autoSortScope>
        <pivotArea dataOnly="0" outline="0" fieldPosition="0">
          <references count="1">
            <reference field="4294967294" count="1" selected="0">
              <x v="0"/>
            </reference>
          </references>
        </pivotArea>
      </autoSortScope>
    </pivotField>
    <pivotField numFmtId="10" showAll="0"/>
    <pivotField showAll="0"/>
    <pivotField showAll="0"/>
    <pivotField showAll="0"/>
    <pivotField showAll="0"/>
    <pivotField showAll="0"/>
    <pivotField axis="axisCol" dataField="1" showAll="0">
      <items count="7">
        <item m="1" x="3"/>
        <item m="1" x="4"/>
        <item m="1" x="1"/>
        <item m="1" x="5"/>
        <item m="1" x="2"/>
        <item x="0"/>
        <item t="default"/>
      </items>
    </pivotField>
    <pivotField showAll="0"/>
    <pivotField showAll="0"/>
    <pivotField showAll="0"/>
    <pivotField showAll="0"/>
    <pivotField showAll="0"/>
    <pivotField showAll="0"/>
    <pivotField numFmtId="10" showAll="0"/>
    <pivotField numFmtId="10" showAll="0"/>
  </pivotFields>
  <rowFields count="1">
    <field x="3"/>
  </rowFields>
  <rowItems count="9">
    <i>
      <x v="4"/>
    </i>
    <i>
      <x v="8"/>
    </i>
    <i>
      <x v="1"/>
    </i>
    <i>
      <x v="5"/>
    </i>
    <i>
      <x v="3"/>
    </i>
    <i>
      <x v="7"/>
    </i>
    <i>
      <x v="6"/>
    </i>
    <i>
      <x v="2"/>
    </i>
    <i t="grand">
      <x/>
    </i>
  </rowItems>
  <colFields count="1">
    <field x="10"/>
  </colFields>
  <colItems count="2">
    <i>
      <x v="5"/>
    </i>
    <i t="grand">
      <x/>
    </i>
  </colItems>
  <dataFields count="1">
    <dataField name="Cuenta de Semáforo Acumulado" fld="10" subtotal="count" baseField="0" baseItem="0"/>
  </dataFields>
  <formats count="21">
    <format dxfId="177">
      <pivotArea type="all" dataOnly="0" outline="0" fieldPosition="0"/>
    </format>
    <format dxfId="176">
      <pivotArea outline="0" collapsedLevelsAreSubtotals="1" fieldPosition="0"/>
    </format>
    <format dxfId="175">
      <pivotArea type="origin" dataOnly="0" labelOnly="1" outline="0" fieldPosition="0"/>
    </format>
    <format dxfId="174">
      <pivotArea field="10" type="button" dataOnly="0" labelOnly="1" outline="0" axis="axisCol" fieldPosition="0"/>
    </format>
    <format dxfId="173">
      <pivotArea type="topRight" dataOnly="0" labelOnly="1" outline="0" fieldPosition="0"/>
    </format>
    <format dxfId="172">
      <pivotArea field="3" type="button" dataOnly="0" labelOnly="1" outline="0" axis="axisRow" fieldPosition="0"/>
    </format>
    <format dxfId="171">
      <pivotArea dataOnly="0" labelOnly="1" fieldPosition="0">
        <references count="1">
          <reference field="3" count="0"/>
        </references>
      </pivotArea>
    </format>
    <format dxfId="170">
      <pivotArea dataOnly="0" labelOnly="1" grandRow="1" outline="0" fieldPosition="0"/>
    </format>
    <format dxfId="169">
      <pivotArea dataOnly="0" labelOnly="1" fieldPosition="0">
        <references count="1">
          <reference field="10" count="0"/>
        </references>
      </pivotArea>
    </format>
    <format dxfId="168">
      <pivotArea dataOnly="0" labelOnly="1" grandCol="1" outline="0" fieldPosition="0"/>
    </format>
    <format dxfId="167">
      <pivotArea type="all" dataOnly="0" outline="0" fieldPosition="0"/>
    </format>
    <format dxfId="166">
      <pivotArea outline="0" collapsedLevelsAreSubtotals="1" fieldPosition="0"/>
    </format>
    <format dxfId="165">
      <pivotArea type="origin" dataOnly="0" labelOnly="1" outline="0" fieldPosition="0"/>
    </format>
    <format dxfId="164">
      <pivotArea field="10" type="button" dataOnly="0" labelOnly="1" outline="0" axis="axisCol" fieldPosition="0"/>
    </format>
    <format dxfId="163">
      <pivotArea type="topRight" dataOnly="0" labelOnly="1" outline="0" fieldPosition="0"/>
    </format>
    <format dxfId="162">
      <pivotArea field="3" type="button" dataOnly="0" labelOnly="1" outline="0" axis="axisRow" fieldPosition="0"/>
    </format>
    <format dxfId="161">
      <pivotArea dataOnly="0" labelOnly="1" fieldPosition="0">
        <references count="1">
          <reference field="3" count="0"/>
        </references>
      </pivotArea>
    </format>
    <format dxfId="160">
      <pivotArea dataOnly="0" labelOnly="1" grandRow="1" outline="0" fieldPosition="0"/>
    </format>
    <format dxfId="159">
      <pivotArea dataOnly="0" labelOnly="1" fieldPosition="0">
        <references count="1">
          <reference field="10" count="0"/>
        </references>
      </pivotArea>
    </format>
    <format dxfId="158">
      <pivotArea dataOnly="0" labelOnly="1" grandCol="1" outline="0" fieldPosition="0"/>
    </format>
    <format dxfId="15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0000000}" name="Sectores" displayName="Sectores" ref="A1:A18" totalsRowShown="0" headerRowDxfId="493" dataDxfId="492">
  <autoFilter ref="A1:A18" xr:uid="{00000000-0009-0000-0100-00000F000000}"/>
  <tableColumns count="1">
    <tableColumn id="1" xr3:uid="{00000000-0010-0000-0000-000001000000}" name="SECTORES DEL DISTRITO" dataDxfId="49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Avance_en_Vigencia_Productos" displayName="Avance_en_Vigencia_Productos" ref="BS5:BZ35" totalsRowShown="0" headerRowDxfId="394" dataDxfId="392" headerRowBorderDxfId="393" tableBorderDxfId="391">
  <autoFilter ref="BS5:BZ35" xr:uid="{00000000-0009-0000-0100-000005000000}"/>
  <tableColumns count="8">
    <tableColumn id="1" xr3:uid="{00000000-0010-0000-0900-000001000000}" name="2018" dataDxfId="390">
      <calculatedColumnFormula array="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calculatedColumnFormula>
    </tableColumn>
    <tableColumn id="2" xr3:uid="{00000000-0010-0000-0900-000002000000}" name="2019" dataDxfId="389">
      <calculatedColumnFormula array="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calculatedColumnFormula>
    </tableColumn>
    <tableColumn id="3" xr3:uid="{00000000-0010-0000-0900-000003000000}" name="2020" dataDxfId="388">
      <calculatedColumnFormula array="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calculatedColumnFormula>
    </tableColumn>
    <tableColumn id="4" xr3:uid="{00000000-0010-0000-0900-000004000000}" name="2021" dataDxfId="387">
      <calculatedColumnFormula array="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calculatedColumnFormula>
    </tableColumn>
    <tableColumn id="5" xr3:uid="{00000000-0010-0000-0900-000005000000}" name="2022" dataDxfId="386">
      <calculatedColumnFormula array="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calculatedColumnFormula>
    </tableColumn>
    <tableColumn id="6" xr3:uid="{00000000-0010-0000-0900-000006000000}" name="2023" dataDxfId="385">
      <calculatedColumnFormula array="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calculatedColumnFormula>
    </tableColumn>
    <tableColumn id="7" xr3:uid="{00000000-0010-0000-0900-000007000000}" name="2024" dataDxfId="384">
      <calculatedColumnFormula array="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calculatedColumnFormula>
    </tableColumn>
    <tableColumn id="8" xr3:uid="{00000000-0010-0000-0900-000008000000}" name="2025" dataDxfId="383">
      <calculatedColumnFormula array="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calculatedColumnFormula>
    </tableColumn>
  </tableColumns>
  <tableStyleInfo name="TableStyleLight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A000000}" name="Avance_Hasta_Vigencia_Productos" displayName="Avance_Hasta_Vigencia_Productos" ref="CA5:CH35" totalsRowShown="0" headerRowDxfId="382" dataDxfId="380" headerRowBorderDxfId="381" tableBorderDxfId="379">
  <autoFilter ref="CA5:CH35" xr:uid="{00000000-0009-0000-0100-000007000000}"/>
  <tableColumns count="8">
    <tableColumn id="1" xr3:uid="{00000000-0010-0000-0A00-000001000000}" name="2018" dataDxfId="378">
      <calculatedColumnFormula array="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calculatedColumnFormula>
    </tableColumn>
    <tableColumn id="2" xr3:uid="{00000000-0010-0000-0A00-000002000000}" name="2019" dataDxfId="377">
      <calculatedColumnFormula array="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calculatedColumnFormula>
    </tableColumn>
    <tableColumn id="3" xr3:uid="{00000000-0010-0000-0A00-000003000000}" name="2020" dataDxfId="376">
      <calculatedColumnFormula array="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calculatedColumnFormula>
    </tableColumn>
    <tableColumn id="4" xr3:uid="{00000000-0010-0000-0A00-000004000000}" name="2021" dataDxfId="375">
      <calculatedColumnFormula array="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calculatedColumnFormula>
    </tableColumn>
    <tableColumn id="5" xr3:uid="{00000000-0010-0000-0A00-000005000000}" name="2022" dataDxfId="374">
      <calculatedColumnFormula array="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calculatedColumnFormula>
    </tableColumn>
    <tableColumn id="6" xr3:uid="{00000000-0010-0000-0A00-000006000000}" name="2023" dataDxfId="373">
      <calculatedColumnFormula array="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calculatedColumnFormula>
    </tableColumn>
    <tableColumn id="7" xr3:uid="{00000000-0010-0000-0A00-000007000000}" name="2024" dataDxfId="372">
      <calculatedColumnFormula array="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calculatedColumnFormula>
    </tableColumn>
    <tableColumn id="8" xr3:uid="{00000000-0010-0000-0A00-000008000000}" name="2025" dataDxfId="371">
      <calculatedColumnFormula array="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calculatedColumnFormula>
    </tableColumn>
  </tableColumns>
  <tableStyleInfo name="TableStyleLight15"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B000000}" name="Avance_Acumulado_Productos" displayName="Avance_Acumulado_Productos" ref="CI5:CP35" totalsRowShown="0" headerRowDxfId="370" dataDxfId="368" headerRowBorderDxfId="369" tableBorderDxfId="367">
  <autoFilter ref="CI5:CP35" xr:uid="{00000000-0009-0000-0100-000008000000}"/>
  <tableColumns count="8">
    <tableColumn id="1" xr3:uid="{00000000-0010-0000-0B00-000001000000}" name="2018" dataDxfId="366">
      <calculatedColumnFormula array="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calculatedColumnFormula>
    </tableColumn>
    <tableColumn id="2" xr3:uid="{00000000-0010-0000-0B00-000002000000}" name="2019" dataDxfId="365">
      <calculatedColumnFormula array="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calculatedColumnFormula>
    </tableColumn>
    <tableColumn id="3" xr3:uid="{00000000-0010-0000-0B00-000003000000}" name="2020" dataDxfId="364">
      <calculatedColumnFormula array="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calculatedColumnFormula>
    </tableColumn>
    <tableColumn id="4" xr3:uid="{00000000-0010-0000-0B00-000004000000}" name="2021" dataDxfId="363">
      <calculatedColumnFormula array="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calculatedColumnFormula>
    </tableColumn>
    <tableColumn id="5" xr3:uid="{00000000-0010-0000-0B00-000005000000}" name="2022" dataDxfId="362">
      <calculatedColumnFormula array="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calculatedColumnFormula>
    </tableColumn>
    <tableColumn id="6" xr3:uid="{00000000-0010-0000-0B00-000006000000}" name="2023" dataDxfId="361">
      <calculatedColumnFormula array="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calculatedColumnFormula>
    </tableColumn>
    <tableColumn id="7" xr3:uid="{00000000-0010-0000-0B00-000007000000}" name="2024" dataDxfId="360">
      <calculatedColumnFormula array="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calculatedColumnFormula>
    </tableColumn>
    <tableColumn id="8" xr3:uid="{00000000-0010-0000-0B00-000008000000}" name="2025" dataDxfId="359">
      <calculatedColumnFormula array="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calculatedColumnFormula>
    </tableColumn>
  </tableColumns>
  <tableStyleInfo name="TableStyleLight15"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C000000}" name="Info_Productos_Cualitativo" displayName="Info_Productos_Cualitativo" ref="A5:M35" totalsRowShown="0" headerRowDxfId="358" dataDxfId="356" headerRowBorderDxfId="357" tableBorderDxfId="355">
  <autoFilter ref="A5:M35" xr:uid="{00000000-0009-0000-0100-000009000000}">
    <filterColumn colId="2">
      <filters>
        <filter val="1.1.8. Estrategias deportivas para adolescentes y jóvenes en el Marco del Modelo Pedagógico del Instituto Distrital para la Protecciòn de la Niñez  y la Juventud - IDIPRON"/>
      </filters>
    </filterColumn>
  </autoFilter>
  <tableColumns count="13">
    <tableColumn id="1" xr3:uid="{00000000-0010-0000-0C00-000001000000}" name="Producto No." dataDxfId="354">
      <calculatedColumnFormula>IF(+Info_Productos_Cuantitativo[[#This Row],[Producto No.]]="","",+Info_Productos_Cuantitativo[[#This Row],[Producto No.]])</calculatedColumnFormula>
    </tableColumn>
    <tableColumn id="2" xr3:uid="{00000000-0010-0000-0C00-000002000000}" name="Key" dataDxfId="353">
      <calculatedColumnFormula>IF(+Info_Productos_Cuantitativo[[#This Row],[Key]]="","",+Info_Productos_Cuantitativo[[#This Row],[Key]])</calculatedColumnFormula>
    </tableColumn>
    <tableColumn id="3" xr3:uid="{00000000-0010-0000-0C00-000003000000}" name="Producto esperado" dataDxfId="352">
      <calculatedColumnFormula>IF(+Info_Productos_Cuantitativo[[#This Row],[Producto esperado]]="","",+Info_Productos_Cuantitativo[[#This Row],[Producto esperado]])</calculatedColumnFormula>
    </tableColumn>
    <tableColumn id="4" xr3:uid="{00000000-0010-0000-0C00-000004000000}" name="Nombre indicador de Producto" dataDxfId="351">
      <calculatedColumnFormula>IF(+Info_Productos_Cuantitativo[[#This Row],[Nombre indicador de Producto]]="","",+Info_Productos_Cuantitativo[[#This Row],[Nombre indicador de Producto]])</calculatedColumnFormula>
    </tableColumn>
    <tableColumn id="5" xr3:uid="{00000000-0010-0000-0C00-000005000000}" name="Sector Líder" dataDxfId="350">
      <calculatedColumnFormula>IF(+Info_Productos_Cuantitativo[[#This Row],[Sector Líder]]="","",+Info_Productos_Cuantitativo[[#This Row],[Sector Líder]])</calculatedColumnFormula>
    </tableColumn>
    <tableColumn id="6" xr3:uid="{00000000-0010-0000-0C00-000006000000}" name="Ponderación relativa del Producto (%)" dataDxfId="349">
      <calculatedColumnFormula>IF(+Info_Productos_Cuantitativo[[#This Row],[Ponderación relativa del Producto (%)]]="","",+Info_Productos_Cuantitativo[[#This Row],[Ponderación relativa del Producto (%)]])</calculatedColumnFormula>
    </tableColumn>
    <tableColumn id="7" xr3:uid="{00000000-0010-0000-0C00-000007000000}" name="Valor Linea Base" dataDxfId="348">
      <calculatedColumnFormula>IF(+Info_Productos_Cuantitativo[[#This Row],[Valor Linea Base]]="","",+Info_Productos_Cuantitativo[[#This Row],[Valor Linea Base]])</calculatedColumnFormula>
    </tableColumn>
    <tableColumn id="8" xr3:uid="{00000000-0010-0000-0C00-000008000000}" name="Tipo de anualización" dataDxfId="347">
      <calculatedColumnFormula>IF(+Info_Productos_Cuantitativo[[#This Row],[Tipo de anualización]]="","",+Info_Productos_Cuantitativo[[#This Row],[Tipo de anualización]])</calculatedColumnFormula>
    </tableColumn>
    <tableColumn id="9" xr3:uid="{00000000-0010-0000-0C00-000009000000}" name="Periodicidad de medición del indicador" dataDxfId="346">
      <calculatedColumnFormula>IF(+Info_Productos_Cuantitativo[[#This Row],[Periodicidad de medición del indicador]]="","",+Info_Productos_Cuantitativo[[#This Row],[Periodicidad de medición del indicador]])</calculatedColumnFormula>
    </tableColumn>
    <tableColumn id="10" xr3:uid="{00000000-0010-0000-0C00-00000A000000}" name="Fecha de Inicio" dataDxfId="345">
      <calculatedColumnFormula>IF(+Info_Productos_Cuantitativo[[#This Row],[Fecha de Inicio]]="","",+Info_Productos_Cuantitativo[[#This Row],[Fecha de Inicio]])</calculatedColumnFormula>
    </tableColumn>
    <tableColumn id="11" xr3:uid="{00000000-0010-0000-0C00-00000B000000}" name="Fecha de Finalización" dataDxfId="344">
      <calculatedColumnFormula>IF(+Info_Productos_Cuantitativo[[#This Row],[Fecha de Finalización]]="","",+Info_Productos_Cuantitativo[[#This Row],[Fecha de Finalización]])</calculatedColumnFormula>
    </tableColumn>
    <tableColumn id="12" xr3:uid="{00000000-0010-0000-0C00-00000C000000}" name="Corte del último reporte" dataDxfId="343">
      <calculatedColumnFormula>IF(+Info_Productos_Cuantitativo[[#This Row],[Corte del último reporte]]="","",+Info_Productos_Cuantitativo[[#This Row],[Corte del último reporte]])</calculatedColumnFormula>
    </tableColumn>
    <tableColumn id="13" xr3:uid="{00000000-0010-0000-0C00-00000D000000}" name="Año del último reporte" dataDxfId="342">
      <calculatedColumnFormula>IF(+Info_Productos_Cuantitativo[[#This Row],[Año del último reporte]]="","",+Info_Productos_Cuantitativo[[#This Row],[Año del último reporte]])</calculatedColumnFormula>
    </tableColumn>
  </tableColumns>
  <tableStyleInfo name="TableStyleLight15"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Cualitativo_Productos" displayName="Cualitativo_Productos" ref="N6:BZ35" headerRowCount="0" totalsRowShown="0" headerRowDxfId="341" dataDxfId="340" tableBorderDxfId="339">
  <tableColumns count="65">
    <tableColumn id="43" xr3:uid="{00000000-0010-0000-0D00-00002B000000}" name="Column43" headerRowDxfId="338" dataDxfId="337"/>
    <tableColumn id="44" xr3:uid="{00000000-0010-0000-0D00-00002C000000}" name="Column44" headerRowDxfId="336" dataDxfId="335"/>
    <tableColumn id="45" xr3:uid="{00000000-0010-0000-0D00-00002D000000}" name="Column45" headerRowDxfId="334" dataDxfId="333"/>
    <tableColumn id="46" xr3:uid="{00000000-0010-0000-0D00-00002E000000}" name="Column46" headerRowDxfId="332" dataDxfId="331"/>
    <tableColumn id="47" xr3:uid="{00000000-0010-0000-0D00-00002F000000}" name="Column47" headerRowDxfId="330" dataDxfId="329"/>
    <tableColumn id="48" xr3:uid="{00000000-0010-0000-0D00-000030000000}" name="Column48" headerRowDxfId="328" dataDxfId="327"/>
    <tableColumn id="1" xr3:uid="{00000000-0010-0000-0D00-000001000000}" name="Column1" headerRowDxfId="326" dataDxfId="325"/>
    <tableColumn id="2" xr3:uid="{00000000-0010-0000-0D00-000002000000}" name="Column2" headerRowDxfId="324" dataDxfId="323"/>
    <tableColumn id="3" xr3:uid="{00000000-0010-0000-0D00-000003000000}" name="Column3" headerRowDxfId="322" dataDxfId="321"/>
    <tableColumn id="4" xr3:uid="{00000000-0010-0000-0D00-000004000000}" name="Column4" headerRowDxfId="320" dataDxfId="319"/>
    <tableColumn id="5" xr3:uid="{00000000-0010-0000-0D00-000005000000}" name="Column5" headerRowDxfId="318" dataDxfId="317"/>
    <tableColumn id="6" xr3:uid="{00000000-0010-0000-0D00-000006000000}" name="Column6" headerRowDxfId="316" dataDxfId="315"/>
    <tableColumn id="7" xr3:uid="{00000000-0010-0000-0D00-000007000000}" name="Column7" headerRowDxfId="314" dataDxfId="313"/>
    <tableColumn id="8" xr3:uid="{00000000-0010-0000-0D00-000008000000}" name="Column8" headerRowDxfId="312" dataDxfId="311"/>
    <tableColumn id="9" xr3:uid="{00000000-0010-0000-0D00-000009000000}" name="Column9" headerRowDxfId="310" dataDxfId="309"/>
    <tableColumn id="10" xr3:uid="{00000000-0010-0000-0D00-00000A000000}" name="Column10" headerRowDxfId="308" dataDxfId="307"/>
    <tableColumn id="11" xr3:uid="{00000000-0010-0000-0D00-00000B000000}" name="Column11" headerRowDxfId="306" dataDxfId="305"/>
    <tableColumn id="12" xr3:uid="{00000000-0010-0000-0D00-00000C000000}" name="Column12" headerRowDxfId="304" dataDxfId="303"/>
    <tableColumn id="13" xr3:uid="{00000000-0010-0000-0D00-00000D000000}" name="Column13" headerRowDxfId="302" dataDxfId="301"/>
    <tableColumn id="14" xr3:uid="{00000000-0010-0000-0D00-00000E000000}" name="Column14" headerRowDxfId="300" dataDxfId="299"/>
    <tableColumn id="15" xr3:uid="{00000000-0010-0000-0D00-00000F000000}" name="Column15" headerRowDxfId="298" dataDxfId="297"/>
    <tableColumn id="16" xr3:uid="{00000000-0010-0000-0D00-000010000000}" name="Column16" headerRowDxfId="296" dataDxfId="295"/>
    <tableColumn id="17" xr3:uid="{00000000-0010-0000-0D00-000011000000}" name="Column17" headerRowDxfId="294" dataDxfId="293"/>
    <tableColumn id="18" xr3:uid="{00000000-0010-0000-0D00-000012000000}" name="Column18" headerRowDxfId="292" dataDxfId="291"/>
    <tableColumn id="19" xr3:uid="{00000000-0010-0000-0D00-000013000000}" name="Column19" headerRowDxfId="290" dataDxfId="289"/>
    <tableColumn id="20" xr3:uid="{00000000-0010-0000-0D00-000014000000}" name="Column20" headerRowDxfId="288" dataDxfId="287"/>
    <tableColumn id="21" xr3:uid="{00000000-0010-0000-0D00-000015000000}" name="Column21" headerRowDxfId="286" dataDxfId="285"/>
    <tableColumn id="22" xr3:uid="{00000000-0010-0000-0D00-000016000000}" name="Column22" headerRowDxfId="284" dataDxfId="283"/>
    <tableColumn id="23" xr3:uid="{00000000-0010-0000-0D00-000017000000}" name="Column23" headerRowDxfId="282" dataDxfId="281"/>
    <tableColumn id="24" xr3:uid="{00000000-0010-0000-0D00-000018000000}" name="Column24" headerRowDxfId="280" dataDxfId="279"/>
    <tableColumn id="25" xr3:uid="{00000000-0010-0000-0D00-000019000000}" name="Column25" headerRowDxfId="278" dataDxfId="277"/>
    <tableColumn id="26" xr3:uid="{00000000-0010-0000-0D00-00001A000000}" name="Column26" headerRowDxfId="276" dataDxfId="275"/>
    <tableColumn id="27" xr3:uid="{00000000-0010-0000-0D00-00001B000000}" name="Column27" headerRowDxfId="274" dataDxfId="273"/>
    <tableColumn id="28" xr3:uid="{00000000-0010-0000-0D00-00001C000000}" name="Column28" headerRowDxfId="272" dataDxfId="271"/>
    <tableColumn id="29" xr3:uid="{00000000-0010-0000-0D00-00001D000000}" name="Column29" headerRowDxfId="270" dataDxfId="269"/>
    <tableColumn id="30" xr3:uid="{00000000-0010-0000-0D00-00001E000000}" name="Column30" headerRowDxfId="268" dataDxfId="267"/>
    <tableColumn id="31" xr3:uid="{00000000-0010-0000-0D00-00001F000000}" name="Column31" headerRowDxfId="266" dataDxfId="265"/>
    <tableColumn id="32" xr3:uid="{00000000-0010-0000-0D00-000020000000}" name="Column32" headerRowDxfId="264" dataDxfId="263"/>
    <tableColumn id="33" xr3:uid="{00000000-0010-0000-0D00-000021000000}" name="Column33" headerRowDxfId="262" dataDxfId="261"/>
    <tableColumn id="34" xr3:uid="{00000000-0010-0000-0D00-000022000000}" name="Column34" headerRowDxfId="260" dataDxfId="259"/>
    <tableColumn id="35" xr3:uid="{00000000-0010-0000-0D00-000023000000}" name="Column35" headerRowDxfId="258" dataDxfId="257"/>
    <tableColumn id="36" xr3:uid="{00000000-0010-0000-0D00-000024000000}" name="Column36" headerRowDxfId="256" dataDxfId="255"/>
    <tableColumn id="37" xr3:uid="{00000000-0010-0000-0D00-000025000000}" name="Column37" headerRowDxfId="254" dataDxfId="253"/>
    <tableColumn id="38" xr3:uid="{00000000-0010-0000-0D00-000026000000}" name="Column38" headerRowDxfId="252" dataDxfId="251"/>
    <tableColumn id="39" xr3:uid="{00000000-0010-0000-0D00-000027000000}" name="Column39" headerRowDxfId="250" dataDxfId="249"/>
    <tableColumn id="40" xr3:uid="{00000000-0010-0000-0D00-000028000000}" name="Column40" headerRowDxfId="248" dataDxfId="247"/>
    <tableColumn id="41" xr3:uid="{00000000-0010-0000-0D00-000029000000}" name="Column41" headerRowDxfId="246" dataDxfId="245"/>
    <tableColumn id="42" xr3:uid="{00000000-0010-0000-0D00-00002A000000}" name="Column42" headerRowDxfId="244" dataDxfId="243"/>
    <tableColumn id="49" xr3:uid="{00000000-0010-0000-0D00-000031000000}" name="Column49" headerRowDxfId="242" dataDxfId="241"/>
    <tableColumn id="50" xr3:uid="{00000000-0010-0000-0D00-000032000000}" name="Column50" headerRowDxfId="240" dataDxfId="239"/>
    <tableColumn id="51" xr3:uid="{00000000-0010-0000-0D00-000033000000}" name="Column51" headerRowDxfId="238" dataDxfId="237"/>
    <tableColumn id="52" xr3:uid="{00000000-0010-0000-0D00-000034000000}" name="Column52" headerRowDxfId="236" dataDxfId="235"/>
    <tableColumn id="53" xr3:uid="{00000000-0010-0000-0D00-000035000000}" name="Column53" headerRowDxfId="234" dataDxfId="233"/>
    <tableColumn id="54" xr3:uid="{00000000-0010-0000-0D00-000036000000}" name="Column54" headerRowDxfId="232" dataDxfId="231"/>
    <tableColumn id="55" xr3:uid="{00000000-0010-0000-0D00-000037000000}" name="Column55" headerRowDxfId="230" dataDxfId="229"/>
    <tableColumn id="56" xr3:uid="{00000000-0010-0000-0D00-000038000000}" name="Column56" headerRowDxfId="228" dataDxfId="227"/>
    <tableColumn id="57" xr3:uid="{00000000-0010-0000-0D00-000039000000}" name="Column57" headerRowDxfId="226" dataDxfId="225"/>
    <tableColumn id="58" xr3:uid="{00000000-0010-0000-0D00-00003A000000}" name="Column58" headerRowDxfId="224" dataDxfId="223"/>
    <tableColumn id="59" xr3:uid="{00000000-0010-0000-0D00-00003B000000}" name="Column59" headerRowDxfId="222" dataDxfId="221"/>
    <tableColumn id="60" xr3:uid="{00000000-0010-0000-0D00-00003C000000}" name="Column60" headerRowDxfId="220" dataDxfId="219"/>
    <tableColumn id="61" xr3:uid="{00000000-0010-0000-0D00-00003D000000}" name="Column61" headerRowDxfId="218" dataDxfId="217"/>
    <tableColumn id="62" xr3:uid="{00000000-0010-0000-0D00-00003E000000}" name="Column62" headerRowDxfId="216" dataDxfId="215"/>
    <tableColumn id="63" xr3:uid="{00000000-0010-0000-0D00-00003F000000}" name="Column63" headerRowDxfId="214" dataDxfId="213"/>
    <tableColumn id="64" xr3:uid="{00000000-0010-0000-0D00-000040000000}" name="Column64" headerRowDxfId="212" dataDxfId="211"/>
    <tableColumn id="65" xr3:uid="{00000000-0010-0000-0D00-000041000000}" name="Columna1" headerRowDxfId="210" dataDxfId="209"/>
  </tableColumns>
  <tableStyleInfo name="TableStyleLight15"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E000000}" name="Panel_Control" displayName="Panel_Control" ref="A4:S34" totalsRowShown="0" headerRowDxfId="199" dataDxfId="198" tableBorderDxfId="197">
  <autoFilter ref="A4:S34" xr:uid="{00000000-0009-0000-0100-00000A000000}"/>
  <tableColumns count="19">
    <tableColumn id="1" xr3:uid="{00000000-0010-0000-0E00-000001000000}" name="Producto #" dataDxfId="196">
      <calculatedColumnFormula>+'Avance Cuantitativo Productos'!A6</calculatedColumnFormula>
    </tableColumn>
    <tableColumn id="2" xr3:uid="{00000000-0010-0000-0E00-000002000000}" name="Key" dataDxfId="195">
      <calculatedColumnFormula>+'Avance Cuantitativo Productos'!B6</calculatedColumnFormula>
    </tableColumn>
    <tableColumn id="3" xr3:uid="{00000000-0010-0000-0E00-000003000000}" name="Producto esperado" dataDxfId="194">
      <calculatedColumnFormula>+'Avance Cuantitativo Productos'!C6</calculatedColumnFormula>
    </tableColumn>
    <tableColumn id="4" xr3:uid="{00000000-0010-0000-0E00-000004000000}" name="Sector Líder" dataDxfId="193">
      <calculatedColumnFormula>+'Avance Cuantitativo Productos'!E6</calculatedColumnFormula>
    </tableColumn>
    <tableColumn id="5" xr3:uid="{00000000-0010-0000-0E00-000005000000}" name="Ponderación relativa del Producto (%)" dataDxfId="192">
      <calculatedColumnFormula>IF(ISNA('Avance Cuantitativo Productos'!M6)=FALSE,'Avance Cuantitativo Productos'!F6,IF($D$1&gt;YEAR('Avance Cuantitativo Productos'!J6),'Avance Cuantitativo Productos'!F6,IF($D$1&lt;YEAR('Avance Cuantitativo Productos'!J6),0,IF(AND($D$1=YEAR('Avance Cuantitativo Productos'!J6),$D$2="Q1",OR('Avance Cuantitativo Productos'!I6&lt;&gt;"Mensual",'Avance Cuantitativo Productos'!I6&lt;&gt;"Bimestral",'Avance Cuantitativo Productos'!I6&lt;&gt;"Trimestral")),0,IF(AND($D$1=YEAR('Avance Cuantitativo Productos'!J6),$D$2="Q2",OR('Avance Cuantitativo Productos'!I6&lt;&gt;"Mensual",'Avance Cuantitativo Productos'!I6&lt;&gt;"Bimestral",'Avance Cuantitativo Productos'!I6&lt;&gt;"Trimestral",'Avance Cuantitativo Productos'!I6&lt;&gt;"Semestral")),0,IF(AND($D$1=YEAR('Avance Cuantitativo Productos'!J6),$D$2="Q3",OR('Avance Cuantitativo Productos'!I6&lt;&gt;"Mensual",'Avance Cuantitativo Productos'!I6&lt;&gt;"Bimestral",'Avance Cuantitativo Productos'!I6&lt;&gt;"Trimestral",'Avance Cuantitativo Productos'!I6&lt;&gt;"Semestral")),0,IF(AND($D$1=YEAR('Avance Cuantitativo Productos'!J6),$D$2="Q4",OR('Avance Cuantitativo Productos'!I6&lt;&gt;"Mensual",'Avance Cuantitativo Productos'!I6&lt;&gt;"Bimestral",'Avance Cuantitativo Productos'!I6&lt;&gt;"Trimestral",'Avance Cuantitativo Productos'!I6&lt;&gt;"Semestral",'Avance Cuantitativo Productos'!I6&lt;&gt;"Anual")),0,'Avance Cuantitativo Productos'!F6)))))))</calculatedColumnFormula>
    </tableColumn>
    <tableColumn id="6" xr3:uid="{00000000-0010-0000-0E00-000006000000}" name="Porcentaje de avance durante la vigencia" dataDxfId="191">
      <calculatedColumnFormula array="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No.],Avance_en_Vigencia_Productos[])))</calculatedColumnFormula>
    </tableColumn>
    <tableColumn id="7" xr3:uid="{00000000-0010-0000-0E00-000007000000}" name="Semáforo de la Vigencia" dataDxfId="190">
      <calculatedColumnFormula>+IF(AND($D$1=YEAR('Avance Cuantitativo Productos'!J6),'Panel de Control PRODUCTOS'!$D$2="Q1",OR('Avance Cuantitativo Productos'!I6="Mensual",'Avance Cuantitativo Productos'!I6="Bimestral",'Avance Cuantitativo Productos'!I6="Trimestral"),MONTH('Avance Cuantitativo Productos'!J6)&lt;=3,SUM(OFFSET('Avance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Productos'!$N$4:$AS$4,0)+3)))))))=0,"Rojo",IF(F5&gt;=0.75,"Verde",IF(AND(F5&lt;0.75,F5&gt;=0.5),"Amarillo",IF(F5&lt;0.5,"Rojo","ERROR")))))))</calculatedColumnFormula>
    </tableColumn>
    <tableColumn id="20" xr3:uid="{00000000-0010-0000-0E00-000014000000}" name="Porcentaje de Avance Hasta la Vigencia" dataDxfId="189">
      <calculatedColumnFormula array="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No.],Avance_Hasta_Vigencia_Productos[])))</calculatedColumnFormula>
    </tableColumn>
    <tableColumn id="21" xr3:uid="{00000000-0010-0000-0E00-000015000000}" name="Semáforo Hasta la Vigencia" dataDxfId="188">
      <calculatedColumnFormula>+IF(AND($D$1=YEAR('Avance Cuantitativo Productos'!J6),'Panel de Control PRODUCTOS'!$D$2="Q1",MONTH('Avance Cuantitativo Productos'!J6)&lt;=3,OR('Avance Cuantitativo Productos'!I6="Mensual",'Avance Cuantitativo Productos'!I6="Bimestral",'Avance Cuantitativo Productos'!I6="Trimestral"),SUM(OFFSET('Avance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Productos'!$N$4:$AS$4,0)+3))))))=0),"Rojo",IF(AND(YEAR('Avance Cuantitativo Productos'!J6)&lt;$D$1,ISERROR('Avance Cuantitativo Productos'!M6)=TRUE),"Rojo",IF(AND(YEAR('Avance Cuantitativo Productos'!J6)&gt;$D$1,ISERROR('Avance Cuantitativo Productos'!M6)=TRUE),"Verde",IF(H5&gt;=0.75,"Verde",IF(AND(H5&lt;0.75,H5&gt;=0.5),"Amarillo",IF(H5&lt;0.5,"Rojo")))))))))</calculatedColumnFormula>
    </tableColumn>
    <tableColumn id="8" xr3:uid="{00000000-0010-0000-0E00-000008000000}" name="Porcentaje de avance Acumulado" dataDxfId="187">
      <calculatedColumnFormula array="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No.],Avance_Acumulado_Productos[])))</calculatedColumnFormula>
    </tableColumn>
    <tableColumn id="9" xr3:uid="{00000000-0010-0000-0E00-000009000000}" name="Semáforo Acumulado" dataDxfId="186">
      <calculatedColumnFormula>+IF(AND($D$1=YEAR('Avance Cuantitativo Productos'!J6),'Panel de Control PRODUCTOS'!$D$2="Q1",MONTH('Avance Cuantitativo Productos'!J6)&lt;=3,OR('Avance Cuantitativo Productos'!I6="Mensual",'Avance Cuantitativo Productos'!I6="Bimestral",'Avance Cuantitativo Productos'!I6="Trimestral"),SUM(OFFSET('Avance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Productos'!$N$4:$AS$4,0)+3))))))=0),"Rojo",IF(AND(YEAR('Avance Cuantitativo Productos'!J6)&lt;$D$1,ISERROR('Avance Cuantitativo Productos'!M6)=TRUE),"Rojo",IF(AND(YEAR('Avance Cuantitativo Productos'!J6)&gt;$D$1,ISERROR('Avance Cuantitativo Productos'!M6)=TRUE),"Verde",IF(J5&gt;=0.75,"Verde",IF(AND(J5&lt;0.75,J5&gt;=0.5),"Amarillo",IF(J5&lt;0.5,"Rojo")))))))))</calculatedColumnFormula>
    </tableColumn>
    <tableColumn id="12" xr3:uid="{00000000-0010-0000-0E00-00000C000000}" name="PAV. Ajustado (100%)" dataDxfId="185">
      <calculatedColumnFormula>+IF(F5="","",IF(F5&gt;1,1,IF(F5&lt;0,0,F5)))</calculatedColumnFormula>
    </tableColumn>
    <tableColumn id="13" xr3:uid="{00000000-0010-0000-0E00-00000D000000}" name="Porcentaje Vigencia  Ponderado" dataDxfId="184">
      <calculatedColumnFormula>+IF(Panel_Control[[#This Row],[PAV. Ajustado (100%)]]="","",Panel_Control[[#This Row],[PAV. Ajustado (100%)]]*Panel_Control[[#This Row],[Ponderación relativa del Producto (%)]])</calculatedColumnFormula>
    </tableColumn>
    <tableColumn id="22" xr3:uid="{00000000-0010-0000-0E00-000016000000}" name="Porcentaje de Avance Hasta la Vigencia (100%)" dataDxfId="183">
      <calculatedColumnFormula>+IF(H5="","",IF(H5&gt;1,1,IF(H5&lt;0,0,H5)))</calculatedColumnFormula>
    </tableColumn>
    <tableColumn id="23" xr3:uid="{00000000-0010-0000-0E00-000017000000}" name="Porcentaje Hasta la Vigencia Ponderado " dataDxfId="182">
      <calculatedColumnFormula>+IF(Panel_Control[[#This Row],[Porcentaje de Avance Hasta la Vigencia (100%)]]="","",Panel_Control[[#This Row],[Porcentaje de Avance Hasta la Vigencia (100%)]]*Panel_Control[[#This Row],[Ponderación relativa del Producto (%)]])</calculatedColumnFormula>
    </tableColumn>
    <tableColumn id="14" xr3:uid="{00000000-0010-0000-0E00-00000E000000}" name="PAA. (100%)" dataDxfId="181">
      <calculatedColumnFormula>+IF(J5="","",IF(J5&gt;1,1,IF(J5&lt;0,0,J5)))</calculatedColumnFormula>
    </tableColumn>
    <tableColumn id="15" xr3:uid="{00000000-0010-0000-0E00-00000F000000}" name="Porcentaje Acumulado Ponderado " dataDxfId="180">
      <calculatedColumnFormula>+IF(Panel_Control[[#This Row],[PAA. (100%)]]="","",Panel_Control[[#This Row],[PAA. (100%)]]*Panel_Control[[#This Row],[Ponderación relativa del Producto (%)]])</calculatedColumnFormula>
    </tableColumn>
    <tableColumn id="18" xr3:uid="{00000000-0010-0000-0E00-000012000000}" name="Trayectoria Acumulada (Avance ideal)" dataDxfId="179">
      <calculatedColumnFormula array="1">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calculatedColumnFormula>
    </tableColumn>
    <tableColumn id="19" xr3:uid="{00000000-0010-0000-0E00-000013000000}" name="Trayectoria Ponderada" dataDxfId="178">
      <calculatedColumnFormula>+Panel_Control[[#This Row],[Trayectoria Acumulada (Avance ideal)]]*Panel_Control[[#This Row],[Ponderación relativa del Producto (%)]]</calculatedColumnFormula>
    </tableColumn>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Tabla2" displayName="Tabla2" ref="T4:AB9" totalsRowShown="0" headerRowDxfId="101" dataDxfId="99" headerRowBorderDxfId="100" tableBorderDxfId="98">
  <autoFilter ref="T4:AB9" xr:uid="{00000000-0009-0000-0100-000011000000}"/>
  <tableColumns count="9">
    <tableColumn id="1" xr3:uid="{00000000-0010-0000-0F00-000001000000}" name="OBJETIVOS" dataDxfId="97">
      <calculatedColumnFormula>+E7</calculatedColumnFormula>
    </tableColumn>
    <tableColumn id="2" xr3:uid="{00000000-0010-0000-0F00-000002000000}" name="NOMBRE DEL OBJETIVO" dataDxfId="96"/>
    <tableColumn id="3" xr3:uid="{00000000-0010-0000-0F00-000003000000}" name="AVANCE ACUMULADO " dataDxfId="95">
      <calculatedColumnFormula>+GETPIVOTDATA("Suma de Porcentaje Ajustado Ponderado ",$E$6,"Key","1.")</calculatedColumnFormula>
    </tableColumn>
    <tableColumn id="4" xr3:uid="{00000000-0010-0000-0F00-000004000000}" name="TRAYECTORIA IDEAL ACUMULADA" dataDxfId="94"/>
    <tableColumn id="5" xr3:uid="{00000000-0010-0000-0F00-000005000000}" name="BRECHA EN LA POLITICA " dataDxfId="93">
      <calculatedColumnFormula>+V5-W5</calculatedColumnFormula>
    </tableColumn>
    <tableColumn id="6" xr3:uid="{00000000-0010-0000-0F00-000006000000}" name="BASE" dataDxfId="92">
      <calculatedColumnFormula>MIN(V5:W5)</calculatedColumnFormula>
    </tableColumn>
    <tableColumn id="7" xr3:uid="{00000000-0010-0000-0F00-000007000000}" name=" BRECHA POSITIVA" dataDxfId="91">
      <calculatedColumnFormula>IF(X5&gt;0,X5," ")</calculatedColumnFormula>
    </tableColumn>
    <tableColumn id="8" xr3:uid="{00000000-0010-0000-0F00-000008000000}" name="BRECHA NEGATIVA" dataDxfId="90">
      <calculatedColumnFormula>IF(X5&lt;0,ABS(X5)," ")</calculatedColumnFormula>
    </tableColumn>
    <tableColumn id="9" xr3:uid="{00000000-0010-0000-0F00-000009000000}" name="SIN BRECHA" dataDxfId="8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0000000}" name="Tabla5" displayName="Tabla5" ref="T13:AB18" totalsRowShown="0" headerRowDxfId="88" dataDxfId="86" headerRowBorderDxfId="87" tableBorderDxfId="85">
  <autoFilter ref="T13:AB18" xr:uid="{00000000-0009-0000-0100-000012000000}"/>
  <tableColumns count="9">
    <tableColumn id="1" xr3:uid="{00000000-0010-0000-1000-000001000000}" name="OBJETIVOS" dataDxfId="84"/>
    <tableColumn id="2" xr3:uid="{00000000-0010-0000-1000-000002000000}" name="NOMBRE DEL OBJETIVO" dataDxfId="83"/>
    <tableColumn id="4" xr3:uid="{00000000-0010-0000-1000-000004000000}" name="AVANCE HASTA LA VIGENCIA" dataDxfId="82"/>
    <tableColumn id="5" xr3:uid="{00000000-0010-0000-1000-000005000000}" name="TRAYECTORIA IDEAL HASTA LA VIGENCIA" dataDxfId="81">
      <calculatedColumnFormula>+GETPIVOTDATA("Suma de Ponderación relativa del producto (%)",$E$6,"Key","1.")</calculatedColumnFormula>
    </tableColumn>
    <tableColumn id="6" xr3:uid="{00000000-0010-0000-1000-000006000000}" name="BRECHA EN LA POLITICA " dataDxfId="80">
      <calculatedColumnFormula>+V14-W14</calculatedColumnFormula>
    </tableColumn>
    <tableColumn id="7" xr3:uid="{00000000-0010-0000-1000-000007000000}" name="BASE" dataDxfId="79">
      <calculatedColumnFormula>MIN(V14:W14)</calculatedColumnFormula>
    </tableColumn>
    <tableColumn id="8" xr3:uid="{00000000-0010-0000-1000-000008000000}" name=" BRECHA POSITIVA" dataDxfId="78">
      <calculatedColumnFormula>IF(X14&gt;0,X14," ")</calculatedColumnFormula>
    </tableColumn>
    <tableColumn id="9" xr3:uid="{00000000-0010-0000-1000-000009000000}" name="BRECHA NEGATIVA" dataDxfId="77">
      <calculatedColumnFormula>IF(X14&lt;0,ABS(X14)," ")</calculatedColumnFormula>
    </tableColumn>
    <tableColumn id="10" xr3:uid="{00000000-0010-0000-1000-00000A000000}" name="SIN BRECHA" dataDxfId="7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1000000}" name="Entidades" displayName="Entidades" ref="C1:C75" totalsRowShown="0" headerRowDxfId="490" dataDxfId="489">
  <autoFilter ref="C1:C75" xr:uid="{00000000-0009-0000-0100-000010000000}"/>
  <tableColumns count="1">
    <tableColumn id="1" xr3:uid="{00000000-0010-0000-0100-000001000000}" name="ENTIDADES DEL DISTRITO" dataDxfId="48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ipo_Anualización" displayName="Tipo_Anualización" ref="E1:E5" totalsRowShown="0" dataDxfId="487">
  <autoFilter ref="E1:E5" xr:uid="{00000000-0009-0000-0100-000003000000}"/>
  <tableColumns count="1">
    <tableColumn id="1" xr3:uid="{00000000-0010-0000-0200-000001000000}" name="TIPO DE ANUALIZACIÓN" dataDxfId="48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Periodicidad_Medicicón" displayName="Periodicidad_Medicicón" ref="G1:I10" totalsRowShown="0" headerRowDxfId="485" dataDxfId="484">
  <autoFilter ref="G1:I10" xr:uid="{00000000-0009-0000-0100-000006000000}"/>
  <tableColumns count="3">
    <tableColumn id="1" xr3:uid="{00000000-0010-0000-0300-000001000000}" name="PERIODICIDAD DE MEDICIÓN" dataDxfId="483"/>
    <tableColumn id="2" xr3:uid="{00000000-0010-0000-0300-000002000000}" name="CANTIDAD DE MESES EN LA PERIODICIDAD" dataDxfId="482"/>
    <tableColumn id="3" xr3:uid="{00000000-0010-0000-0300-000003000000}" name="CANTIDAD DE PERIODOS EN UN AÑO" dataDxfId="48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4000000}" name="Anios_Reporte" displayName="Anios_Reporte" ref="K1:K9" totalsRowShown="0" dataDxfId="480">
  <autoFilter ref="K1:K9" xr:uid="{00000000-0009-0000-0100-00000B000000}"/>
  <tableColumns count="1">
    <tableColumn id="1" xr3:uid="{00000000-0010-0000-0400-000001000000}" name="Año de Reporte" dataDxfId="47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5000000}" name="Trimestres" displayName="Trimestres" ref="M1:M5" totalsRowShown="0" dataDxfId="478">
  <autoFilter ref="M1:M5" xr:uid="{00000000-0009-0000-0100-000013000000}"/>
  <tableColumns count="1">
    <tableColumn id="1" xr3:uid="{00000000-0010-0000-0500-000001000000}" name="Trimestres" dataDxfId="47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6000000}" name="Info_Productos_Cuantitativo" displayName="Info_Productos_Cuantitativo" ref="A5:M35" totalsRowShown="0" headerRowDxfId="476" dataDxfId="474" headerRowBorderDxfId="475" tableBorderDxfId="473">
  <autoFilter ref="A5:M35" xr:uid="{00000000-0009-0000-0100-000001000000}">
    <filterColumn colId="2">
      <filters>
        <filter val="1.1.8. Estrategias deportivas para adolescentes y jóvenes en el Marco del Modelo Pedagógico del Instituto Distrital para la Protecciòn de la Niñez  y la Juventud - IDIPRON"/>
      </filters>
    </filterColumn>
  </autoFilter>
  <tableColumns count="13">
    <tableColumn id="1" xr3:uid="{00000000-0010-0000-0600-000001000000}" name="Producto No." dataDxfId="472"/>
    <tableColumn id="2" xr3:uid="{00000000-0010-0000-0600-000002000000}" name="Key" dataDxfId="471">
      <calculatedColumnFormula>+LEFT(Info_Productos_Cuantitativo[[#This Row],[Producto esperado]],2)</calculatedColumnFormula>
    </tableColumn>
    <tableColumn id="3" xr3:uid="{00000000-0010-0000-0600-000003000000}" name="Producto esperado" dataDxfId="470"/>
    <tableColumn id="4" xr3:uid="{00000000-0010-0000-0600-000004000000}" name="Nombre indicador de Producto" dataDxfId="469"/>
    <tableColumn id="5" xr3:uid="{00000000-0010-0000-0600-000005000000}" name="Sector Líder" dataDxfId="468"/>
    <tableColumn id="6" xr3:uid="{00000000-0010-0000-0600-000006000000}" name="Ponderación relativa del Producto (%)" dataDxfId="467"/>
    <tableColumn id="7" xr3:uid="{00000000-0010-0000-0600-000007000000}" name="Valor Linea Base" dataDxfId="466"/>
    <tableColumn id="8" xr3:uid="{00000000-0010-0000-0600-000008000000}" name="Tipo de anualización" dataDxfId="465"/>
    <tableColumn id="9" xr3:uid="{00000000-0010-0000-0600-000009000000}" name="Periodicidad de medición del indicador" dataDxfId="464"/>
    <tableColumn id="10" xr3:uid="{00000000-0010-0000-0600-00000A000000}" name="Fecha de Inicio" dataDxfId="463"/>
    <tableColumn id="11" xr3:uid="{00000000-0010-0000-0600-00000B000000}" name="Fecha de Finalización" dataDxfId="462"/>
    <tableColumn id="12" xr3:uid="{00000000-0010-0000-0600-00000C000000}" name="Corte del último reporte" dataDxfId="461">
      <calculatedColumnFormula array="1">+_xlfn.CONCAT("Q",LEFT(LOOKUP(2,1/(Cuantitativo_Productos[[#This Row],[1er Trimestre 2018]:[4o Trimestre 2025]]&lt;&gt;""),Cuantitativo_Productos[[#Headers],[1er Trimestre 2018]:[4o Trimestre 2025]]),1))</calculatedColumnFormula>
    </tableColumn>
    <tableColumn id="13" xr3:uid="{00000000-0010-0000-0600-00000D000000}" name="Año del último reporte" dataDxfId="460">
      <calculatedColumnFormula array="1">+RIGHT(LOOKUP(2,1/(Cuantitativo_Productos[[#This Row],[1er Trimestre 2018]:[4o Trimestre 2025]]&lt;&gt;""),Cuantitativo_Productos[[#Headers],[1er Trimestre 2018]:[4o Trimestre 2025]]),4)</calculatedColumnFormula>
    </tableColumn>
  </tableColumns>
  <tableStyleInfo name="TableStyleLight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Cuantitativo_Productos" displayName="Cuantitativo_Productos" ref="N5:BA35" totalsRowShown="0" headerRowDxfId="459" dataDxfId="457" headerRowBorderDxfId="458" tableBorderDxfId="456">
  <autoFilter ref="N5:BA35" xr:uid="{00000000-0009-0000-0100-000002000000}"/>
  <tableColumns count="40">
    <tableColumn id="1" xr3:uid="{00000000-0010-0000-0700-000001000000}" name="1er Trimestre 2018" dataDxfId="455"/>
    <tableColumn id="2" xr3:uid="{00000000-0010-0000-0700-000002000000}" name="2o Trimestre 2018" dataDxfId="454"/>
    <tableColumn id="3" xr3:uid="{00000000-0010-0000-0700-000003000000}" name="3er Trimestre 2018" dataDxfId="453"/>
    <tableColumn id="4" xr3:uid="{00000000-0010-0000-0700-000004000000}" name="4o Trimestre 2018" dataDxfId="452"/>
    <tableColumn id="5" xr3:uid="{00000000-0010-0000-0700-000005000000}" name="1er Trimestre 2019" dataDxfId="451"/>
    <tableColumn id="6" xr3:uid="{00000000-0010-0000-0700-000006000000}" name="2o Trimestre 2019" dataDxfId="450"/>
    <tableColumn id="7" xr3:uid="{00000000-0010-0000-0700-000007000000}" name="3er Trimestre 2019" dataDxfId="449"/>
    <tableColumn id="8" xr3:uid="{00000000-0010-0000-0700-000008000000}" name="4o Trimestre 2019" dataDxfId="448"/>
    <tableColumn id="9" xr3:uid="{00000000-0010-0000-0700-000009000000}" name="1er Trimestre 2020" dataDxfId="447"/>
    <tableColumn id="10" xr3:uid="{00000000-0010-0000-0700-00000A000000}" name="2o Trimestre 2020" dataDxfId="446"/>
    <tableColumn id="11" xr3:uid="{00000000-0010-0000-0700-00000B000000}" name="3er Trimestre 2020" dataDxfId="445"/>
    <tableColumn id="12" xr3:uid="{00000000-0010-0000-0700-00000C000000}" name="4o Trimestre 2020" dataDxfId="444"/>
    <tableColumn id="13" xr3:uid="{00000000-0010-0000-0700-00000D000000}" name="1er Trimestre 2021" dataDxfId="443"/>
    <tableColumn id="14" xr3:uid="{00000000-0010-0000-0700-00000E000000}" name="2o Trimestre 2021" dataDxfId="442"/>
    <tableColumn id="15" xr3:uid="{00000000-0010-0000-0700-00000F000000}" name="3er Trimestre 2021" dataDxfId="441"/>
    <tableColumn id="16" xr3:uid="{00000000-0010-0000-0700-000010000000}" name="4o Trimestre 2021" dataDxfId="440"/>
    <tableColumn id="17" xr3:uid="{00000000-0010-0000-0700-000011000000}" name="1er Trimestre 2022" dataDxfId="439"/>
    <tableColumn id="18" xr3:uid="{00000000-0010-0000-0700-000012000000}" name="2o Trimestre 2022" dataDxfId="438"/>
    <tableColumn id="19" xr3:uid="{00000000-0010-0000-0700-000013000000}" name="3er Trimestre 2022" dataDxfId="437"/>
    <tableColumn id="20" xr3:uid="{00000000-0010-0000-0700-000014000000}" name="4o Trimestre 2022" dataDxfId="436"/>
    <tableColumn id="29" xr3:uid="{00000000-0010-0000-0700-00001D000000}" name="1er Trimestre 2023" dataDxfId="435"/>
    <tableColumn id="28" xr3:uid="{00000000-0010-0000-0700-00001C000000}" name="2o Trimestre 2023" dataDxfId="434"/>
    <tableColumn id="27" xr3:uid="{00000000-0010-0000-0700-00001B000000}" name="3er Trimestre 2023" dataDxfId="433"/>
    <tableColumn id="26" xr3:uid="{00000000-0010-0000-0700-00001A000000}" name="4o Trimestre 2023" dataDxfId="432"/>
    <tableColumn id="31" xr3:uid="{00000000-0010-0000-0700-00001F000000}" name="1er Trimestre 2024" dataDxfId="431"/>
    <tableColumn id="32" xr3:uid="{00000000-0010-0000-0700-000020000000}" name="2o Trimestre 2024" dataDxfId="430"/>
    <tableColumn id="33" xr3:uid="{00000000-0010-0000-0700-000021000000}" name="3er Trimestre 2024" dataDxfId="429"/>
    <tableColumn id="34" xr3:uid="{00000000-0010-0000-0700-000022000000}" name="4o Trimestre 2024" dataDxfId="428"/>
    <tableColumn id="35" xr3:uid="{00000000-0010-0000-0700-000023000000}" name="1er Trimestre 2025" dataDxfId="427"/>
    <tableColumn id="36" xr3:uid="{00000000-0010-0000-0700-000024000000}" name="2o Trimestre 2025" dataDxfId="426">
      <calculatedColumnFormula>1914+1596</calculatedColumnFormula>
    </tableColumn>
    <tableColumn id="37" xr3:uid="{00000000-0010-0000-0700-000025000000}" name="3er Trimestre 2025" dataDxfId="425"/>
    <tableColumn id="38" xr3:uid="{00000000-0010-0000-0700-000026000000}" name="4o Trimestre 2025" dataDxfId="424"/>
    <tableColumn id="21" xr3:uid="{00000000-0010-0000-0700-000015000000}" name="Acumulado 2018" dataDxfId="423">
      <calculatedColumnFormula array="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calculatedColumnFormula>
    </tableColumn>
    <tableColumn id="22" xr3:uid="{00000000-0010-0000-0700-000016000000}" name="Acumulado 2019" dataDxfId="422">
      <calculatedColumnFormula array="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calculatedColumnFormula>
    </tableColumn>
    <tableColumn id="23" xr3:uid="{00000000-0010-0000-0700-000017000000}" name="Acumulado 2020" dataDxfId="421">
      <calculatedColumnFormula array="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calculatedColumnFormula>
    </tableColumn>
    <tableColumn id="24" xr3:uid="{00000000-0010-0000-0700-000018000000}" name="Acumulado 2021" dataDxfId="420">
      <calculatedColumnFormula array="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calculatedColumnFormula>
    </tableColumn>
    <tableColumn id="25" xr3:uid="{00000000-0010-0000-0700-000019000000}" name="Acumulado 2022" dataDxfId="419">
      <calculatedColumnFormula array="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calculatedColumnFormula>
    </tableColumn>
    <tableColumn id="30" xr3:uid="{00000000-0010-0000-0700-00001E000000}" name="Acumulado 2023" dataDxfId="418">
      <calculatedColumnFormula array="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calculatedColumnFormula>
    </tableColumn>
    <tableColumn id="39" xr3:uid="{00000000-0010-0000-0700-000027000000}" name="Acumulado 2024" dataDxfId="417">
      <calculatedColumnFormula array="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calculatedColumnFormula>
    </tableColumn>
    <tableColumn id="40" xr3:uid="{00000000-0010-0000-0700-000028000000}" name="Acumulado 2025" dataDxfId="416">
      <calculatedColumnFormula array="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calculatedColumnFormula>
    </tableColumn>
  </tableColumns>
  <tableStyleInfo name="TableStyleLight1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8000000}" name="Metas_Productos" displayName="Metas_Productos" ref="BB5:BR35" totalsRowShown="0" headerRowDxfId="415" dataDxfId="413" headerRowBorderDxfId="414" tableBorderDxfId="412">
  <autoFilter ref="BB5:BR35" xr:uid="{00000000-0009-0000-0100-000004000000}"/>
  <tableColumns count="17">
    <tableColumn id="1" xr3:uid="{00000000-0010-0000-0800-000001000000}" name="2018" dataDxfId="411"/>
    <tableColumn id="2" xr3:uid="{00000000-0010-0000-0800-000002000000}" name="2019" dataDxfId="410">
      <calculatedColumnFormula array="1">+Anualiza_LB(Metas_Productos[[#Headers],[2019]],Info_Productos_Cuantitativo[[#This Row],[Año del último reporte]],Info_Productos_Cuantitativo[[#This Row],[Valor Linea Base]],Info_Productos_Cuantitativo[[#This Row],[Corte del último reporte]])</calculatedColumnFormula>
    </tableColumn>
    <tableColumn id="3" xr3:uid="{00000000-0010-0000-0800-000003000000}" name="2020" dataDxfId="409"/>
    <tableColumn id="4" xr3:uid="{00000000-0010-0000-0800-000004000000}" name="2021" dataDxfId="408"/>
    <tableColumn id="5" xr3:uid="{00000000-0010-0000-0800-000005000000}" name="2022" dataDxfId="407"/>
    <tableColumn id="11" xr3:uid="{00000000-0010-0000-0800-00000B000000}" name="2023" dataDxfId="406"/>
    <tableColumn id="14" xr3:uid="{00000000-0010-0000-0800-00000E000000}" name="2024" dataDxfId="405"/>
    <tableColumn id="15" xr3:uid="{00000000-0010-0000-0800-00000F000000}" name="2025" dataDxfId="404"/>
    <tableColumn id="13" xr3:uid="{00000000-0010-0000-0800-00000D000000}" name="Meta Final" dataDxfId="403"/>
    <tableColumn id="6" xr3:uid="{00000000-0010-0000-0800-000006000000}" name="Acumulada 2018" dataDxfId="402">
      <calculatedColumnFormula array="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calculatedColumnFormula>
    </tableColumn>
    <tableColumn id="7" xr3:uid="{00000000-0010-0000-0800-000007000000}" name="Acumulada 2019" dataDxfId="401"/>
    <tableColumn id="8" xr3:uid="{00000000-0010-0000-0800-000008000000}" name="Acumulada 2020" dataDxfId="400"/>
    <tableColumn id="9" xr3:uid="{00000000-0010-0000-0800-000009000000}" name="Acumulada 2021" dataDxfId="399"/>
    <tableColumn id="10" xr3:uid="{00000000-0010-0000-0800-00000A000000}" name="Acumulada 2022" dataDxfId="398"/>
    <tableColumn id="12" xr3:uid="{00000000-0010-0000-0800-00000C000000}" name="Acumulada 2023" dataDxfId="397"/>
    <tableColumn id="16" xr3:uid="{00000000-0010-0000-0800-000010000000}" name="Acumulada 2024" dataDxfId="396"/>
    <tableColumn id="17" xr3:uid="{00000000-0010-0000-0800-000011000000}" name="Acumulada 2025" dataDxfId="395"/>
  </tableColumns>
  <tableStyleInfo name="TableStyleLight1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I6" dT="2024-08-27T16:19:54.28" personId="{028CD91E-EBD3-454E-865D-C8D4C78E8F64}" id="{9C4855B2-2D6B-4A63-ACF3-91421A75792A}">
    <text>En alcance adjunto al reporte de primer semestre de 2024 cambian el reporte de vacío a 10%</text>
  </threadedComment>
  <threadedComment ref="AJ6" dT="2023-12-06T13:08:46.34" personId="{4AE09F0E-1AA0-4825-9AE0-B2EAD79FD5D7}" id="{7EF1FC34-6A55-4AA8-9003-1F99AD52296F}">
    <text>Alcance del sector pasa de 15% a vacío</text>
  </threadedComment>
  <threadedComment ref="AJ6" dT="2024-08-27T16:19:40.31" personId="{028CD91E-EBD3-454E-865D-C8D4C78E8F64}" id="{2093AE1C-7CAD-4DC3-871C-434E703D8843}" parentId="{7EF1FC34-6A55-4AA8-9003-1F99AD52296F}">
    <text>En alcance adjunto al reporte de primer semestre de 2024 cambian el reporte de 0% a 25%</text>
  </threadedComment>
  <threadedComment ref="AK6" dT="2024-08-27T16:19:29.05" personId="{028CD91E-EBD3-454E-865D-C8D4C78E8F64}" id="{0D539F0D-E91C-4BCE-A1DC-8437689FC367}">
    <text>En alcance adjunto al reporte de primer semestre de 2024 cambian el reporte de 5% a 30%</text>
  </threadedComment>
  <threadedComment ref="AM6" dT="2024-08-27T22:57:32.22" personId="{028CD91E-EBD3-454E-865D-C8D4C78E8F64}" id="{95702383-B75C-4539-9F7F-D238887DEAC5}">
    <text>Producto creciente y reporte inferior a vigencia anterior.</text>
  </threadedComment>
  <threadedComment ref="AM6" dT="2024-09-23T22:47:52.06" personId="{028CD91E-EBD3-454E-865D-C8D4C78E8F64}" id="{A0BB87DF-EF25-44B6-80EF-11D17835B9CA}" parentId="{95702383-B75C-4539-9F7F-D238887DEAC5}">
    <text>En alcance eliminan reporte de 12% de acuerdo con periodicidad de medición.</text>
  </threadedComment>
  <threadedComment ref="AK7" dT="2024-03-26T20:42:49.66" personId="{4AE09F0E-1AA0-4825-9AE0-B2EAD79FD5D7}" id="{2E12F552-9F0F-45E3-AAC2-839528E01DC1}">
    <text xml:space="preserve">Alcance de información pasa de vacío a 2 </text>
  </threadedComment>
  <threadedComment ref="AI9" dT="2024-08-27T16:20:28.59" personId="{028CD91E-EBD3-454E-865D-C8D4C78E8F64}" id="{EB46BB73-E74B-424D-A67A-4C9E9ED26E0A}">
    <text>En alcance adjunto al reporte de primer semestre de 2024 cambian el reporte de vacío a 1162</text>
  </threadedComment>
  <threadedComment ref="AJ9" dT="2023-12-06T13:12:54.78" personId="{4AE09F0E-1AA0-4825-9AE0-B2EAD79FD5D7}" id="{29DEAF2C-EB48-4FDF-8090-6072B80BE01F}">
    <text>Alcance del sector pasa de 2125 a vacío</text>
  </threadedComment>
  <threadedComment ref="AJ9" dT="2024-08-27T16:20:43.11" personId="{028CD91E-EBD3-454E-865D-C8D4C78E8F64}" id="{3810AEBB-4A7A-42AE-8C59-924EC5B1FCD9}" parentId="{29DEAF2C-EB48-4FDF-8090-6072B80BE01F}">
    <text>En alcance adjunto al reporte de primer semestre de 2024 cambian el reporte de vacío a 3287</text>
  </threadedComment>
  <threadedComment ref="AK9" dT="2024-08-27T16:21:03.17" personId="{028CD91E-EBD3-454E-865D-C8D4C78E8F64}" id="{398AC434-7794-475D-94D5-CF6AF169608D}">
    <text>En alcance adjunto al reporte de primer semestre de 2024 cambian el reporte de 68888 a 72175</text>
  </threadedComment>
  <threadedComment ref="AK10" dT="2024-09-17T19:57:39.23" personId="{028CD91E-EBD3-454E-865D-C8D4C78E8F64}" id="{F2403A00-93DB-447C-99B6-33EFA86A941F}">
    <text>En alcance reportan 36825</text>
  </threadedComment>
  <threadedComment ref="AI11" dT="2023-08-29T14:27:40.26" personId="{4AE09F0E-1AA0-4825-9AE0-B2EAD79FD5D7}" id="{5B926B51-8645-4735-B41C-31308349FEC3}">
    <text>Alcance del sector</text>
  </threadedComment>
  <threadedComment ref="AH12" dT="2024-08-27T16:21:30.78" personId="{028CD91E-EBD3-454E-865D-C8D4C78E8F64}" id="{C079CF36-3CBC-445B-8224-2491782F8B1F}">
    <text>En alcance adjunto al reporte de primer semestre de 2024 cambian el reporte de 65 a 239</text>
  </threadedComment>
  <threadedComment ref="AI12" dT="2023-08-29T14:30:26.51" personId="{4AE09F0E-1AA0-4825-9AE0-B2EAD79FD5D7}" id="{7F53A793-F68B-4820-A975-F8101BC5849E}">
    <text>Alcance del sector</text>
  </threadedComment>
  <threadedComment ref="AI12" dT="2024-08-27T16:21:50.87" personId="{028CD91E-EBD3-454E-865D-C8D4C78E8F64}" id="{BA280C2E-07D8-4BC3-B5FB-2D0EDEB78E7B}" parentId="{7F53A793-F68B-4820-A975-F8101BC5849E}">
    <text>En alcance adjunto al reporte de primer semestre de 2024 cambian el reporte de 65 a 437</text>
  </threadedComment>
  <threadedComment ref="AJ12" dT="2023-12-05T21:20:28.68" personId="{4AE09F0E-1AA0-4825-9AE0-B2EAD79FD5D7}" id="{5414D75E-CFF3-41D1-B63C-7937AC466638}">
    <text>Revisar reporte</text>
  </threadedComment>
  <threadedComment ref="AJ12" dT="2023-12-06T13:14:50.77" personId="{4AE09F0E-1AA0-4825-9AE0-B2EAD79FD5D7}" id="{39D9A3EB-542C-449A-9CC6-615BC42BC78A}" parentId="{5414D75E-CFF3-41D1-B63C-7937AC466638}">
    <text>Son 413 acciones</text>
  </threadedComment>
  <threadedComment ref="AG13" dT="2023-03-13T21:51:04.54" personId="{0C0AE516-4C56-4A90-9D75-78D2E9B7264F}" id="{41490147-658B-4A81-BA8F-815635E697A2}">
    <text>Valor inferior a la línea base, producto creciente</text>
  </threadedComment>
  <threadedComment ref="AH13" dT="2023-06-23T14:12:23.07" personId="{876926FE-81CE-41BC-9D41-B9951FC6B7C2}" id="{3062C699-919C-45AE-AD6C-4C3BC6DCE42F}">
    <text>El reporte es inferior al de 2022 y adicional es inferior a la línea base.</text>
  </threadedComment>
  <threadedComment ref="AH13" dT="2023-06-23T14:17:42.60" personId="{876926FE-81CE-41BC-9D41-B9951FC6B7C2}" id="{E30F54BA-534A-4536-BBB6-D003973AD2DA}" parentId="{3062C699-919C-45AE-AD6C-4C3BC6DCE42F}">
    <text>Reporte de 479, periodicidad semestral. Elimino reporte para cálculos</text>
  </threadedComment>
  <threadedComment ref="AI13" dT="2023-08-29T14:20:13.01" personId="{4AE09F0E-1AA0-4825-9AE0-B2EAD79FD5D7}" id="{B7783CCD-5759-45A0-8C9C-FE51D2024FD8}">
    <text>Alcance del sector</text>
  </threadedComment>
  <threadedComment ref="AK13" dT="2024-03-26T20:15:16.29" personId="{4AE09F0E-1AA0-4825-9AE0-B2EAD79FD5D7}" id="{14A8861F-9D35-42AD-8F51-80322EAF6B15}">
    <text>Alcance mesa de trabajo pasa de 864 a 1914</text>
  </threadedComment>
  <threadedComment ref="AM13" dT="2024-08-27T22:58:14.77" personId="{028CD91E-EBD3-454E-865D-C8D4C78E8F64}" id="{FEC5EFA7-783D-4560-9B0C-89817C551B2D}">
    <text>Producto creciente y reporte inferior a vigencia anterior.</text>
  </threadedComment>
  <threadedComment ref="AX13" dT="2023-03-13T21:51:04.54" personId="{0C0AE516-4C56-4A90-9D75-78D2E9B7264F}" id="{A42BA8EE-E34E-4F12-9447-D9193E07D9C4}">
    <text>Valor inferior a la línea base, producto creciente</text>
  </threadedComment>
  <threadedComment ref="AY13" dT="2024-03-26T20:15:16.29" personId="{4AE09F0E-1AA0-4825-9AE0-B2EAD79FD5D7}" id="{D766E403-AA9C-4CC6-8570-07C4B9F576C8}">
    <text>Alcance mesa de trabajo pasa de 864 a 1914</text>
  </threadedComment>
  <threadedComment ref="AH14" dT="2024-08-27T16:22:21.57" personId="{028CD91E-EBD3-454E-865D-C8D4C78E8F64}" id="{0079CDF8-3F1E-4EFD-AA90-1EA5BA3EB342}">
    <text>En alcance adjunto al reporte de primer semestre de 2024 cambian el reporte de 13.11 a 1311</text>
  </threadedComment>
  <threadedComment ref="AI14" dT="2024-08-27T16:22:39.60" personId="{028CD91E-EBD3-454E-865D-C8D4C78E8F64}" id="{21120ADC-D8B5-4473-9672-CDE8FAC2C4F8}">
    <text>En alcance adjunto al reporte de primer semestre de 2024 cambian el reporte de 24.99 a 2499</text>
  </threadedComment>
  <threadedComment ref="AH20" dT="2023-06-23T14:12:35.55" personId="{876926FE-81CE-41BC-9D41-B9951FC6B7C2}" id="{00B59D2A-6EAC-4DC0-9766-84C7A1CD957A}">
    <text xml:space="preserve">El reporte es inferior al de 2022 </text>
  </threadedComment>
  <threadedComment ref="AH20" dT="2023-06-23T14:18:15.12" personId="{876926FE-81CE-41BC-9D41-B9951FC6B7C2}" id="{D0A79D37-C278-42EF-8679-D77ED06EE1B9}" parentId="{00B59D2A-6EAC-4DC0-9766-84C7A1CD957A}">
    <text>Reporte de 2, periodicidad anual. Elimino reporte para cálculos</text>
  </threadedComment>
  <threadedComment ref="AJ22" dT="2023-11-27T16:43:38.10" personId="{4AE09F0E-1AA0-4825-9AE0-B2EAD79FD5D7}" id="{852F63B4-CB52-4D66-A92E-D8FC2512AAE7}">
    <text>Falta reporte producto trimestral</text>
  </threadedComment>
  <threadedComment ref="AJ22" dT="2024-08-27T16:23:31.56" personId="{028CD91E-EBD3-454E-865D-C8D4C78E8F64}" id="{60CEF80C-3455-486F-8491-963E5F3FCE14}" parentId="{852F63B4-CB52-4D66-A92E-D8FC2512AAE7}">
    <text>En alcance adjunto al reporte de primer semestre de 2024 cambian el reporte de vacío a 74</text>
  </threadedComment>
  <threadedComment ref="AK23" dT="2024-08-27T16:25:05.64" personId="{028CD91E-EBD3-454E-865D-C8D4C78E8F64}" id="{7453F798-3C3C-4EFA-A7D3-C6C788466023}">
    <text>En alcance adjunto al reporte de primer semestre de 2024 cambian el reporte de 2 a 100</text>
  </threadedComment>
  <threadedComment ref="AK23" dT="2024-09-23T22:48:58.79" personId="{028CD91E-EBD3-454E-865D-C8D4C78E8F64}" id="{C94BEBBF-B383-4D24-89FA-291D5883A83C}" parentId="{7453F798-3C3C-4EFA-A7D3-C6C788466023}">
    <text>En alcance eliminan reporte de 100 y reportan 22</text>
  </threadedComment>
  <threadedComment ref="AK28" dT="2024-09-17T20:09:38.96" personId="{028CD91E-EBD3-454E-865D-C8D4C78E8F64}" id="{77168C1B-EA2D-43BA-9C55-B98BB71C898A}">
    <text>Alcance en reporte de 2024</text>
  </threadedComment>
  <threadedComment ref="AO28" dT="2025-03-06T20:56:17.80" personId="{028CD91E-EBD3-454E-865D-C8D4C78E8F64}" id="{D8773231-474F-45A7-B4A4-D3B83EB70E5D}">
    <text>Producto 4.1.2 anual sin reporte para Q4</text>
  </threadedComment>
  <threadedComment ref="AO28" dT="2025-03-18T16:51:15.66" personId="{028CD91E-EBD3-454E-865D-C8D4C78E8F64}" id="{F05B3719-46D2-4C55-A18C-7D2213C14D91}" parentId="{D8773231-474F-45A7-B4A4-D3B83EB70E5D}">
    <text>En reunión, mencionan que la divulgación ya se realizó en primer semestre. Reporte de cero para segundo semestre</text>
  </threadedComment>
  <threadedComment ref="AJ29" dT="2023-11-27T16:43:50.60" personId="{4AE09F0E-1AA0-4825-9AE0-B2EAD79FD5D7}" id="{16B34589-966F-4A6A-9067-026E3AF234D7}">
    <text>Falta reporte producto trimestral</text>
  </threadedComment>
  <threadedComment ref="AJ29" dT="2023-12-06T13:18:04.37" personId="{4AE09F0E-1AA0-4825-9AE0-B2EAD79FD5D7}" id="{9DBE3406-41BC-4CA5-8D11-88C0FBEED6CB}" parentId="{16B34589-966F-4A6A-9067-026E3AF234D7}">
    <text xml:space="preserve">Alcance del sector pasa de vacío a 1 </text>
  </threadedComment>
  <threadedComment ref="AH30" dT="2023-06-23T14:12:41.81" personId="{876926FE-81CE-41BC-9D41-B9951FC6B7C2}" id="{02C4627B-F0BF-4866-8542-39AD30DF82D4}">
    <text xml:space="preserve">El reporte es inferior al de 2022 </text>
  </threadedComment>
  <threadedComment ref="AH30" dT="2023-06-23T14:18:38.72" personId="{876926FE-81CE-41BC-9D41-B9951FC6B7C2}" id="{C73BF4C7-05F2-4876-9A57-4B17140CB837}" parentId="{02C4627B-F0BF-4866-8542-39AD30DF82D4}">
    <text>Reporte de 6, periodicidad anual. Elimino reporte para cálculos</text>
  </threadedComment>
  <threadedComment ref="AK30" dT="2024-03-12T20:43:06.35" personId="{4AE09F0E-1AA0-4825-9AE0-B2EAD79FD5D7}" id="{3C3B5CC7-4BD3-485B-BA2C-FDFB3F78380A}">
    <text xml:space="preserve">El reporte es inferior al de 2022 
</text>
  </threadedComment>
  <threadedComment ref="AK30" dT="2024-03-26T20:31:58.31" personId="{4AE09F0E-1AA0-4825-9AE0-B2EAD79FD5D7}" id="{5DF45375-26AD-465B-A18A-84D08184CD41}" parentId="{3C3B5CC7-4BD3-485B-BA2C-FDFB3F78380A}">
    <text>Alcance del sector reporte de 44 cambia a 144</text>
  </threadedComment>
  <threadedComment ref="AM30" dT="2024-08-27T22:59:33.67" personId="{028CD91E-EBD3-454E-865D-C8D4C78E8F64}" id="{A0F792BC-DA61-4F8F-9947-43FF64FE8740}">
    <text>Producto creciente y reporte inferior a vigencia anterior.</text>
  </threadedComment>
  <threadedComment ref="AM30" dT="2024-09-23T22:49:33.53" personId="{028CD91E-EBD3-454E-865D-C8D4C78E8F64}" id="{9301ED25-5CF0-4EE5-8C2A-699E60D58D6F}" parentId="{A0F792BC-DA61-4F8F-9947-43FF64FE8740}">
    <text>En alcance eliminan reporte de 63 de acuerdo con periodicidad de medición.</text>
  </threadedComment>
  <threadedComment ref="AK31" dT="2024-08-27T16:30:23.78" personId="{028CD91E-EBD3-454E-865D-C8D4C78E8F64}" id="{36C5489B-5BDF-4864-8AD4-245D67DD3D6D}">
    <text>En alcance adjunto al reporte de primer semestre de 2024 cambian el reporte de vacío a 10</text>
  </threadedComment>
  <threadedComment ref="AM32" dT="2025-03-18T16:48:05.01" personId="{028CD91E-EBD3-454E-865D-C8D4C78E8F64}" id="{7C089B2D-1720-4223-9685-676AD9008994}">
    <text>En alcance del 25 feb cambian reporte de 295 por 0</text>
  </threadedComment>
  <threadedComment ref="G33" dT="2023-03-13T21:55:35.84" personId="{0C0AE516-4C56-4A90-9D75-78D2E9B7264F}" id="{B952DFFD-4E68-49D9-B28F-52E44AE847B9}">
    <text>Linea base es igual a 128, sin embargo la meta final es 128 hay error</text>
  </threadedComment>
  <threadedComment ref="G33" dT="2023-03-13T21:55:51.63" personId="{0C0AE516-4C56-4A90-9D75-78D2E9B7264F}" id="{8BB41A91-9B42-4DC4-966D-734960A371BD}" parentId="{B952DFFD-4E68-49D9-B28F-52E44AE847B9}">
    <text>Se elimina línea base para cálculos, según reunión con el sector 23 marzo 2023</text>
  </threadedComment>
  <threadedComment ref="AG33" dT="2023-03-13T21:51:10.58" personId="{0C0AE516-4C56-4A90-9D75-78D2E9B7264F}" id="{C87DAF54-D898-43C1-912C-F7387902FC22}">
    <text>Valor inferior a la línea base, producto creciente</text>
  </threadedComment>
  <threadedComment ref="AH33" dT="2023-06-23T14:12:45.40" personId="{876926FE-81CE-41BC-9D41-B9951FC6B7C2}" id="{E18BF6CA-F272-459E-BF2B-F5DFFA336281}">
    <text xml:space="preserve">El reporte es inferior al de 2022 </text>
  </threadedComment>
  <threadedComment ref="AH33" dT="2023-06-23T14:18:55.97" personId="{876926FE-81CE-41BC-9D41-B9951FC6B7C2}" id="{1776D896-15D4-4A6E-BBB6-CC96744C19F8}" parentId="{E18BF6CA-F272-459E-BF2B-F5DFFA336281}">
    <text>Reporte de 2, periodicidad semestral. Elimino reporte para cálculos</text>
  </threadedComment>
  <threadedComment ref="AI33" dT="2023-08-29T14:06:11.89" personId="{4AE09F0E-1AA0-4825-9AE0-B2EAD79FD5D7}" id="{5207A5BF-5035-4D36-981D-2D3B8DD8C3F1}">
    <text xml:space="preserve">Reportan 4, según mesa de trabaja cambian el valor a 9 </text>
  </threadedComment>
  <threadedComment ref="AK33" dT="2024-03-12T20:44:06.78" personId="{4AE09F0E-1AA0-4825-9AE0-B2EAD79FD5D7}" id="{19E6CD24-3114-4CCC-9C50-238E2E63F2FC}">
    <text xml:space="preserve">El reporte es inferior al de Q2
</text>
  </threadedComment>
  <threadedComment ref="AY33" dT="2024-03-12T20:44:06.78" personId="{4AE09F0E-1AA0-4825-9AE0-B2EAD79FD5D7}" id="{2186B983-E303-40CA-A305-AC7F3D1E4579}">
    <text xml:space="preserve">El reporte es inferior al de Q2
</text>
  </threadedComment>
  <threadedComment ref="AI34" dT="2023-08-29T14:08:50.87" personId="{4AE09F0E-1AA0-4825-9AE0-B2EAD79FD5D7}" id="{B627F947-ABB5-4DCB-A002-F7865440576C}">
    <text xml:space="preserve">Reportan 0, se deja en vacío </text>
  </threadedComment>
  <threadedComment ref="AJ35" dT="2024-08-27T16:30:46.35" personId="{028CD91E-EBD3-454E-865D-C8D4C78E8F64}" id="{EB4EEDB0-E34D-476F-B4D2-6860738B9177}">
    <text>En alcance adjunto al reporte de primer semestre de 2024 cambian el reporte de vacío a 844</text>
  </threadedComment>
  <threadedComment ref="AJ35" dT="2024-09-23T22:51:22.91" personId="{028CD91E-EBD3-454E-865D-C8D4C78E8F64}" id="{E406DFD9-C566-4705-A1EF-F5CAAF2E744A}" parentId="{EB4EEDB0-E34D-476F-B4D2-6860738B9177}">
    <text>En alcance cambian reporte de 844 por 13025</text>
  </threadedComment>
  <threadedComment ref="AM35" dT="2024-09-23T22:50:38.80" personId="{028CD91E-EBD3-454E-865D-C8D4C78E8F64}" id="{E2AC30C1-ECE8-455F-B6EC-006017A737B6}">
    <text>En alcance cambian reporte de 23796 por 31410</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vmlDrawing" Target="../drawings/vmlDrawing1.vml"/><Relationship Id="rId7" Type="http://schemas.openxmlformats.org/officeDocument/2006/relationships/table" Target="../tables/table10.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9.xml"/><Relationship Id="rId11" Type="http://schemas.microsoft.com/office/2017/10/relationships/threadedComment" Target="../threadedComments/threadedComment1.xml"/><Relationship Id="rId5" Type="http://schemas.openxmlformats.org/officeDocument/2006/relationships/table" Target="../tables/table8.xml"/><Relationship Id="rId10" Type="http://schemas.openxmlformats.org/officeDocument/2006/relationships/comments" Target="../comments1.xml"/><Relationship Id="rId4" Type="http://schemas.openxmlformats.org/officeDocument/2006/relationships/table" Target="../tables/table7.xml"/><Relationship Id="rId9" Type="http://schemas.openxmlformats.org/officeDocument/2006/relationships/table" Target="../tables/table1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table" Target="../tables/table1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table" Target="../tables/table1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table" Target="../tables/table16.xml"/><Relationship Id="rId5" Type="http://schemas.openxmlformats.org/officeDocument/2006/relationships/drawing" Target="../drawings/drawing3.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5"/>
  <sheetViews>
    <sheetView topLeftCell="C1" workbookViewId="0">
      <selection activeCell="H25" sqref="H25"/>
    </sheetView>
  </sheetViews>
  <sheetFormatPr baseColWidth="10" defaultColWidth="8.88671875" defaultRowHeight="14.4" x14ac:dyDescent="0.3"/>
  <cols>
    <col min="1" max="1" width="36" style="1" customWidth="1"/>
    <col min="2" max="2" width="8.88671875" style="1"/>
    <col min="3" max="3" width="66.109375" style="1" customWidth="1"/>
    <col min="4" max="4" width="8.88671875" style="1"/>
    <col min="5" max="5" width="23.88671875" style="1" customWidth="1"/>
    <col min="6" max="6" width="8.88671875" style="1"/>
    <col min="7" max="7" width="36.44140625" style="1" customWidth="1"/>
    <col min="8" max="8" width="39.44140625" style="1" customWidth="1"/>
    <col min="9" max="9" width="34.44140625" style="1" customWidth="1"/>
    <col min="10" max="10" width="8.88671875" style="1"/>
    <col min="11" max="11" width="15.88671875" style="1" customWidth="1"/>
    <col min="12" max="12" width="8.88671875" style="1"/>
    <col min="13" max="13" width="12" style="1" customWidth="1"/>
    <col min="14" max="16384" width="8.88671875" style="1"/>
  </cols>
  <sheetData>
    <row r="1" spans="1:13" x14ac:dyDescent="0.3">
      <c r="A1" t="s">
        <v>0</v>
      </c>
      <c r="C1" t="s">
        <v>1</v>
      </c>
      <c r="E1" t="s">
        <v>2</v>
      </c>
      <c r="G1" t="s">
        <v>3</v>
      </c>
      <c r="H1" t="s">
        <v>4</v>
      </c>
      <c r="I1" t="s">
        <v>5</v>
      </c>
      <c r="K1" t="s">
        <v>6</v>
      </c>
      <c r="M1" t="s">
        <v>7</v>
      </c>
    </row>
    <row r="2" spans="1:13" x14ac:dyDescent="0.3">
      <c r="A2" t="s">
        <v>8</v>
      </c>
      <c r="C2" t="s">
        <v>9</v>
      </c>
      <c r="E2" t="s">
        <v>10</v>
      </c>
      <c r="G2" t="s">
        <v>11</v>
      </c>
      <c r="H2" s="23">
        <v>1</v>
      </c>
      <c r="I2" s="22">
        <v>12</v>
      </c>
      <c r="K2" s="23">
        <v>2018</v>
      </c>
      <c r="M2" s="52" t="s">
        <v>12</v>
      </c>
    </row>
    <row r="3" spans="1:13" x14ac:dyDescent="0.3">
      <c r="A3" t="s">
        <v>13</v>
      </c>
      <c r="C3" t="s">
        <v>14</v>
      </c>
      <c r="E3" t="s">
        <v>15</v>
      </c>
      <c r="G3" t="s">
        <v>16</v>
      </c>
      <c r="H3" s="23">
        <v>2</v>
      </c>
      <c r="I3" s="22">
        <v>6</v>
      </c>
      <c r="K3" s="109">
        <v>2019</v>
      </c>
      <c r="M3" s="52" t="s">
        <v>17</v>
      </c>
    </row>
    <row r="4" spans="1:13" x14ac:dyDescent="0.3">
      <c r="A4" t="s">
        <v>18</v>
      </c>
      <c r="C4" t="s">
        <v>19</v>
      </c>
      <c r="E4" t="s">
        <v>20</v>
      </c>
      <c r="G4" t="s">
        <v>21</v>
      </c>
      <c r="H4" s="23">
        <v>3</v>
      </c>
      <c r="I4" s="22">
        <v>4</v>
      </c>
      <c r="K4" s="109">
        <v>2020</v>
      </c>
      <c r="M4" s="52" t="s">
        <v>22</v>
      </c>
    </row>
    <row r="5" spans="1:13" x14ac:dyDescent="0.3">
      <c r="A5" t="s">
        <v>23</v>
      </c>
      <c r="C5" t="s">
        <v>24</v>
      </c>
      <c r="E5" t="s">
        <v>25</v>
      </c>
      <c r="G5" t="s">
        <v>26</v>
      </c>
      <c r="H5" s="23">
        <v>6</v>
      </c>
      <c r="I5" s="22">
        <v>2</v>
      </c>
      <c r="K5" s="109">
        <v>2021</v>
      </c>
      <c r="M5" s="52" t="s">
        <v>27</v>
      </c>
    </row>
    <row r="6" spans="1:13" x14ac:dyDescent="0.3">
      <c r="A6" t="s">
        <v>28</v>
      </c>
      <c r="C6" t="s">
        <v>29</v>
      </c>
      <c r="G6" t="s">
        <v>30</v>
      </c>
      <c r="H6" s="23">
        <v>12</v>
      </c>
      <c r="I6" s="22">
        <v>1</v>
      </c>
      <c r="K6" s="109">
        <v>2022</v>
      </c>
    </row>
    <row r="7" spans="1:13" x14ac:dyDescent="0.3">
      <c r="A7" t="s">
        <v>31</v>
      </c>
      <c r="C7" t="s">
        <v>32</v>
      </c>
      <c r="G7" t="s">
        <v>33</v>
      </c>
      <c r="H7" s="23">
        <v>24</v>
      </c>
      <c r="I7" s="22">
        <v>0.5</v>
      </c>
      <c r="K7" s="109">
        <v>2023</v>
      </c>
    </row>
    <row r="8" spans="1:13" x14ac:dyDescent="0.3">
      <c r="A8" t="s">
        <v>34</v>
      </c>
      <c r="C8" t="s">
        <v>35</v>
      </c>
      <c r="G8" t="s">
        <v>36</v>
      </c>
      <c r="H8" s="23">
        <v>36</v>
      </c>
      <c r="I8" s="22">
        <f>1/3</f>
        <v>0.33333333333333331</v>
      </c>
      <c r="K8" s="109">
        <v>2024</v>
      </c>
    </row>
    <row r="9" spans="1:13" x14ac:dyDescent="0.3">
      <c r="A9" t="s">
        <v>37</v>
      </c>
      <c r="C9" t="s">
        <v>38</v>
      </c>
      <c r="G9" t="s">
        <v>39</v>
      </c>
      <c r="H9" s="23">
        <v>48</v>
      </c>
      <c r="I9" s="22">
        <v>0.25</v>
      </c>
      <c r="K9" s="109">
        <v>2025</v>
      </c>
    </row>
    <row r="10" spans="1:13" x14ac:dyDescent="0.3">
      <c r="A10" t="s">
        <v>40</v>
      </c>
      <c r="C10" t="s">
        <v>41</v>
      </c>
      <c r="G10" t="s">
        <v>42</v>
      </c>
      <c r="H10" s="23">
        <v>60</v>
      </c>
      <c r="I10" s="22">
        <v>0.2</v>
      </c>
    </row>
    <row r="11" spans="1:13" x14ac:dyDescent="0.3">
      <c r="A11" t="s">
        <v>43</v>
      </c>
      <c r="C11" t="s">
        <v>44</v>
      </c>
    </row>
    <row r="12" spans="1:13" x14ac:dyDescent="0.3">
      <c r="A12" t="s">
        <v>45</v>
      </c>
      <c r="C12" t="s">
        <v>46</v>
      </c>
    </row>
    <row r="13" spans="1:13" x14ac:dyDescent="0.3">
      <c r="A13" t="s">
        <v>47</v>
      </c>
      <c r="C13" t="s">
        <v>48</v>
      </c>
    </row>
    <row r="14" spans="1:13" x14ac:dyDescent="0.3">
      <c r="A14" t="s">
        <v>49</v>
      </c>
      <c r="C14" t="s">
        <v>50</v>
      </c>
    </row>
    <row r="15" spans="1:13" x14ac:dyDescent="0.3">
      <c r="A15" t="s">
        <v>51</v>
      </c>
      <c r="C15" t="s">
        <v>52</v>
      </c>
    </row>
    <row r="16" spans="1:13" x14ac:dyDescent="0.3">
      <c r="A16" t="s">
        <v>53</v>
      </c>
      <c r="C16" t="s">
        <v>54</v>
      </c>
    </row>
    <row r="17" spans="1:3" x14ac:dyDescent="0.3">
      <c r="A17" t="s">
        <v>55</v>
      </c>
      <c r="C17" t="s">
        <v>56</v>
      </c>
    </row>
    <row r="18" spans="1:3" x14ac:dyDescent="0.3">
      <c r="A18" t="s">
        <v>57</v>
      </c>
      <c r="C18" t="s">
        <v>58</v>
      </c>
    </row>
    <row r="19" spans="1:3" x14ac:dyDescent="0.3">
      <c r="C19" t="s">
        <v>59</v>
      </c>
    </row>
    <row r="20" spans="1:3" x14ac:dyDescent="0.3">
      <c r="C20" t="s">
        <v>60</v>
      </c>
    </row>
    <row r="21" spans="1:3" x14ac:dyDescent="0.3">
      <c r="C21" t="s">
        <v>61</v>
      </c>
    </row>
    <row r="22" spans="1:3" x14ac:dyDescent="0.3">
      <c r="C22" t="s">
        <v>62</v>
      </c>
    </row>
    <row r="23" spans="1:3" x14ac:dyDescent="0.3">
      <c r="C23" t="s">
        <v>63</v>
      </c>
    </row>
    <row r="24" spans="1:3" x14ac:dyDescent="0.3">
      <c r="C24" t="s">
        <v>64</v>
      </c>
    </row>
    <row r="25" spans="1:3" x14ac:dyDescent="0.3">
      <c r="C25" t="s">
        <v>65</v>
      </c>
    </row>
    <row r="26" spans="1:3" x14ac:dyDescent="0.3">
      <c r="C26" t="s">
        <v>66</v>
      </c>
    </row>
    <row r="27" spans="1:3" x14ac:dyDescent="0.3">
      <c r="C27" t="s">
        <v>67</v>
      </c>
    </row>
    <row r="28" spans="1:3" x14ac:dyDescent="0.3">
      <c r="C28" t="s">
        <v>68</v>
      </c>
    </row>
    <row r="29" spans="1:3" x14ac:dyDescent="0.3">
      <c r="C29" t="s">
        <v>69</v>
      </c>
    </row>
    <row r="30" spans="1:3" x14ac:dyDescent="0.3">
      <c r="C30" t="s">
        <v>70</v>
      </c>
    </row>
    <row r="31" spans="1:3" x14ac:dyDescent="0.3">
      <c r="C31" t="s">
        <v>71</v>
      </c>
    </row>
    <row r="32" spans="1:3" x14ac:dyDescent="0.3">
      <c r="C32" t="s">
        <v>72</v>
      </c>
    </row>
    <row r="33" spans="3:3" x14ac:dyDescent="0.3">
      <c r="C33" t="s">
        <v>73</v>
      </c>
    </row>
    <row r="34" spans="3:3" x14ac:dyDescent="0.3">
      <c r="C34" t="s">
        <v>74</v>
      </c>
    </row>
    <row r="35" spans="3:3" x14ac:dyDescent="0.3">
      <c r="C35" t="s">
        <v>75</v>
      </c>
    </row>
    <row r="36" spans="3:3" x14ac:dyDescent="0.3">
      <c r="C36" t="s">
        <v>76</v>
      </c>
    </row>
    <row r="37" spans="3:3" x14ac:dyDescent="0.3">
      <c r="C37" t="s">
        <v>77</v>
      </c>
    </row>
    <row r="38" spans="3:3" x14ac:dyDescent="0.3">
      <c r="C38" t="s">
        <v>78</v>
      </c>
    </row>
    <row r="39" spans="3:3" x14ac:dyDescent="0.3">
      <c r="C39" t="s">
        <v>79</v>
      </c>
    </row>
    <row r="40" spans="3:3" x14ac:dyDescent="0.3">
      <c r="C40" t="s">
        <v>80</v>
      </c>
    </row>
    <row r="41" spans="3:3" x14ac:dyDescent="0.3">
      <c r="C41" t="s">
        <v>81</v>
      </c>
    </row>
    <row r="42" spans="3:3" x14ac:dyDescent="0.3">
      <c r="C42" t="s">
        <v>82</v>
      </c>
    </row>
    <row r="43" spans="3:3" x14ac:dyDescent="0.3">
      <c r="C43" t="s">
        <v>83</v>
      </c>
    </row>
    <row r="44" spans="3:3" x14ac:dyDescent="0.3">
      <c r="C44" t="s">
        <v>84</v>
      </c>
    </row>
    <row r="45" spans="3:3" x14ac:dyDescent="0.3">
      <c r="C45" t="s">
        <v>85</v>
      </c>
    </row>
    <row r="46" spans="3:3" x14ac:dyDescent="0.3">
      <c r="C46" t="s">
        <v>86</v>
      </c>
    </row>
    <row r="47" spans="3:3" x14ac:dyDescent="0.3">
      <c r="C47" t="s">
        <v>87</v>
      </c>
    </row>
    <row r="48" spans="3:3" x14ac:dyDescent="0.3">
      <c r="C48" t="s">
        <v>88</v>
      </c>
    </row>
    <row r="49" spans="3:3" x14ac:dyDescent="0.3">
      <c r="C49" t="s">
        <v>89</v>
      </c>
    </row>
    <row r="50" spans="3:3" x14ac:dyDescent="0.3">
      <c r="C50" t="s">
        <v>90</v>
      </c>
    </row>
    <row r="51" spans="3:3" x14ac:dyDescent="0.3">
      <c r="C51" t="s">
        <v>91</v>
      </c>
    </row>
    <row r="52" spans="3:3" x14ac:dyDescent="0.3">
      <c r="C52" t="s">
        <v>92</v>
      </c>
    </row>
    <row r="53" spans="3:3" x14ac:dyDescent="0.3">
      <c r="C53" t="s">
        <v>93</v>
      </c>
    </row>
    <row r="54" spans="3:3" x14ac:dyDescent="0.3">
      <c r="C54" t="s">
        <v>94</v>
      </c>
    </row>
    <row r="55" spans="3:3" x14ac:dyDescent="0.3">
      <c r="C55" t="s">
        <v>95</v>
      </c>
    </row>
    <row r="56" spans="3:3" x14ac:dyDescent="0.3">
      <c r="C56" t="s">
        <v>96</v>
      </c>
    </row>
    <row r="57" spans="3:3" x14ac:dyDescent="0.3">
      <c r="C57" t="s">
        <v>97</v>
      </c>
    </row>
    <row r="58" spans="3:3" x14ac:dyDescent="0.3">
      <c r="C58" t="s">
        <v>98</v>
      </c>
    </row>
    <row r="59" spans="3:3" x14ac:dyDescent="0.3">
      <c r="C59" t="s">
        <v>99</v>
      </c>
    </row>
    <row r="60" spans="3:3" x14ac:dyDescent="0.3">
      <c r="C60" t="s">
        <v>100</v>
      </c>
    </row>
    <row r="61" spans="3:3" x14ac:dyDescent="0.3">
      <c r="C61" t="s">
        <v>101</v>
      </c>
    </row>
    <row r="62" spans="3:3" x14ac:dyDescent="0.3">
      <c r="C62" t="s">
        <v>102</v>
      </c>
    </row>
    <row r="63" spans="3:3" x14ac:dyDescent="0.3">
      <c r="C63" t="s">
        <v>103</v>
      </c>
    </row>
    <row r="64" spans="3:3" x14ac:dyDescent="0.3">
      <c r="C64" t="s">
        <v>104</v>
      </c>
    </row>
    <row r="65" spans="3:3" x14ac:dyDescent="0.3">
      <c r="C65" t="s">
        <v>105</v>
      </c>
    </row>
    <row r="66" spans="3:3" x14ac:dyDescent="0.3">
      <c r="C66" t="s">
        <v>106</v>
      </c>
    </row>
    <row r="67" spans="3:3" x14ac:dyDescent="0.3">
      <c r="C67" t="s">
        <v>107</v>
      </c>
    </row>
    <row r="68" spans="3:3" x14ac:dyDescent="0.3">
      <c r="C68" t="s">
        <v>108</v>
      </c>
    </row>
    <row r="69" spans="3:3" x14ac:dyDescent="0.3">
      <c r="C69" t="s">
        <v>109</v>
      </c>
    </row>
    <row r="70" spans="3:3" x14ac:dyDescent="0.3">
      <c r="C70" t="s">
        <v>110</v>
      </c>
    </row>
    <row r="71" spans="3:3" x14ac:dyDescent="0.3">
      <c r="C71" t="s">
        <v>111</v>
      </c>
    </row>
    <row r="72" spans="3:3" x14ac:dyDescent="0.3">
      <c r="C72" t="s">
        <v>112</v>
      </c>
    </row>
    <row r="73" spans="3:3" x14ac:dyDescent="0.3">
      <c r="C73" t="s">
        <v>113</v>
      </c>
    </row>
    <row r="74" spans="3:3" x14ac:dyDescent="0.3">
      <c r="C74" t="s">
        <v>114</v>
      </c>
    </row>
    <row r="75" spans="3:3" x14ac:dyDescent="0.3">
      <c r="C75" t="s">
        <v>115</v>
      </c>
    </row>
  </sheetData>
  <pageMargins left="0.7" right="0.7" top="0.75" bottom="0.75" header="0.3" footer="0.3"/>
  <pageSetup orientation="portrait"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CP35"/>
  <sheetViews>
    <sheetView zoomScale="56" zoomScaleNormal="56" workbookViewId="0">
      <pane xSplit="3" ySplit="5" topLeftCell="D6" activePane="bottomRight" state="frozen"/>
      <selection pane="topRight" activeCell="D1" sqref="D1"/>
      <selection pane="bottomLeft" activeCell="A6" sqref="A6"/>
      <selection pane="bottomRight" activeCell="AS13" sqref="AS13"/>
    </sheetView>
  </sheetViews>
  <sheetFormatPr baseColWidth="10" defaultColWidth="8.88671875" defaultRowHeight="14.4" outlineLevelCol="2" x14ac:dyDescent="0.3"/>
  <cols>
    <col min="1" max="1" width="19.44140625" style="1" customWidth="1"/>
    <col min="2" max="2" width="10.88671875" style="1" hidden="1" customWidth="1"/>
    <col min="3" max="3" width="38.44140625" style="1" customWidth="1"/>
    <col min="4" max="4" width="40" style="1" customWidth="1"/>
    <col min="5" max="5" width="19.44140625" style="1" customWidth="1"/>
    <col min="6" max="6" width="29.44140625" style="1" customWidth="1"/>
    <col min="7" max="7" width="22.44140625" style="1" customWidth="1"/>
    <col min="8" max="8" width="22.88671875" style="1" customWidth="1"/>
    <col min="9" max="9" width="34.109375" style="1" customWidth="1"/>
    <col min="10" max="10" width="20.44140625" style="1" customWidth="1"/>
    <col min="11" max="11" width="26.109375" style="1" customWidth="1"/>
    <col min="12" max="13" width="23.44140625" style="1" customWidth="1"/>
    <col min="14" max="14" width="26.109375" style="1" hidden="1" customWidth="1" outlineLevel="2"/>
    <col min="15" max="15" width="21.109375" style="1" hidden="1" customWidth="1" outlineLevel="2"/>
    <col min="16" max="16" width="22.109375" style="1" hidden="1" customWidth="1" outlineLevel="2"/>
    <col min="17" max="17" width="25.44140625" style="1" customWidth="1" collapsed="1"/>
    <col min="18" max="18" width="26.109375" style="1" hidden="1" customWidth="1" outlineLevel="1"/>
    <col min="19" max="19" width="25.44140625" style="1" hidden="1" customWidth="1" outlineLevel="1"/>
    <col min="20" max="20" width="26.44140625" style="1" hidden="1" customWidth="1" outlineLevel="1"/>
    <col min="21" max="21" width="25.44140625" style="1" customWidth="1" collapsed="1"/>
    <col min="22" max="22" width="26.44140625" style="1" hidden="1" customWidth="1" outlineLevel="1"/>
    <col min="23" max="23" width="25.88671875" style="1" hidden="1" customWidth="1" outlineLevel="1"/>
    <col min="24" max="24" width="26.88671875" style="1" hidden="1" customWidth="1" outlineLevel="1"/>
    <col min="25" max="25" width="25.88671875" style="1" customWidth="1" collapsed="1"/>
    <col min="26" max="26" width="26.109375" style="1" hidden="1" customWidth="1" outlineLevel="1"/>
    <col min="27" max="27" width="25.44140625" style="1" hidden="1" customWidth="1" outlineLevel="1"/>
    <col min="28" max="28" width="26.44140625" style="1" hidden="1" customWidth="1" outlineLevel="1"/>
    <col min="29" max="29" width="25.44140625" style="1" customWidth="1" collapsed="1"/>
    <col min="30" max="30" width="26.44140625" style="1" hidden="1" customWidth="1" outlineLevel="1"/>
    <col min="31" max="31" width="25.88671875" style="1" hidden="1" customWidth="1" outlineLevel="1"/>
    <col min="32" max="32" width="26.88671875" style="1" hidden="1" customWidth="1" outlineLevel="1"/>
    <col min="33" max="33" width="25.88671875" style="1" customWidth="1" collapsed="1"/>
    <col min="34" max="34" width="26.44140625" style="1" hidden="1" customWidth="1" outlineLevel="1"/>
    <col min="35" max="35" width="25.88671875" style="1" hidden="1" customWidth="1" outlineLevel="1"/>
    <col min="36" max="36" width="26.88671875" style="1" hidden="1" customWidth="1" outlineLevel="1"/>
    <col min="37" max="37" width="25.88671875" style="1" customWidth="1" collapsed="1"/>
    <col min="38" max="40" width="25.88671875" style="1" hidden="1" customWidth="1" outlineLevel="1"/>
    <col min="41" max="41" width="25.88671875" style="1" customWidth="1" collapsed="1"/>
    <col min="42" max="44" width="25.88671875" style="1" customWidth="1" outlineLevel="1"/>
    <col min="45" max="45" width="25.88671875" style="1" customWidth="1"/>
    <col min="46" max="51" width="24.109375" style="1" customWidth="1" outlineLevel="1"/>
    <col min="52" max="53" width="24.109375" style="1" customWidth="1"/>
    <col min="54" max="58" width="12.109375" style="1" customWidth="1" outlineLevel="1"/>
    <col min="59" max="59" width="13.44140625" style="1" customWidth="1" outlineLevel="1"/>
    <col min="60" max="61" width="13.44140625" style="1" customWidth="1"/>
    <col min="62" max="62" width="16.88671875" style="1" customWidth="1"/>
    <col min="63" max="63" width="24.109375" style="1" hidden="1" customWidth="1" outlineLevel="1"/>
    <col min="64" max="68" width="22.44140625" style="1" hidden="1" customWidth="1" outlineLevel="1"/>
    <col min="69" max="69" width="22.44140625" style="1" customWidth="1" collapsed="1"/>
    <col min="70" max="70" width="22.44140625" style="1" customWidth="1"/>
    <col min="71" max="76" width="12.109375" style="1" customWidth="1" outlineLevel="1"/>
    <col min="77" max="78" width="12.109375" style="1" customWidth="1"/>
    <col min="79" max="79" width="12.109375" style="1" customWidth="1" outlineLevel="1"/>
    <col min="80" max="84" width="24.109375" style="1" customWidth="1" outlineLevel="1"/>
    <col min="85" max="86" width="24.109375" style="1" customWidth="1"/>
    <col min="87" max="92" width="12.109375" style="1" hidden="1" customWidth="1" outlineLevel="1"/>
    <col min="93" max="93" width="10.44140625" style="1" customWidth="1" collapsed="1"/>
    <col min="94" max="94" width="10.44140625" style="1" customWidth="1"/>
    <col min="95" max="95" width="4.44140625" style="1" customWidth="1"/>
    <col min="96" max="96" width="5.44140625" style="1" customWidth="1"/>
    <col min="97" max="16384" width="8.88671875" style="1"/>
  </cols>
  <sheetData>
    <row r="1" spans="1:94" ht="23.4" x14ac:dyDescent="0.3">
      <c r="A1" s="253" t="s">
        <v>116</v>
      </c>
      <c r="B1" s="253"/>
      <c r="C1" s="253"/>
      <c r="D1" s="253"/>
      <c r="E1" s="253"/>
      <c r="F1" s="253"/>
      <c r="G1" s="253"/>
      <c r="H1" s="253"/>
      <c r="I1" s="253"/>
      <c r="J1" s="253"/>
      <c r="K1" s="253"/>
      <c r="L1" s="253"/>
      <c r="M1" s="93"/>
    </row>
    <row r="2" spans="1:94" ht="24" thickBot="1" x14ac:dyDescent="0.35">
      <c r="A2" s="254"/>
      <c r="B2" s="254"/>
      <c r="C2" s="254"/>
      <c r="D2" s="254"/>
      <c r="E2" s="254"/>
      <c r="F2" s="254"/>
      <c r="G2" s="254"/>
      <c r="H2" s="254"/>
      <c r="I2" s="254"/>
      <c r="J2" s="254"/>
      <c r="K2" s="254"/>
      <c r="L2" s="254"/>
      <c r="M2" s="93"/>
    </row>
    <row r="3" spans="1:94" ht="30.75" customHeight="1" thickBot="1" x14ac:dyDescent="0.35">
      <c r="A3" s="255" t="s">
        <v>117</v>
      </c>
      <c r="B3" s="256"/>
      <c r="C3" s="256"/>
      <c r="D3" s="256"/>
      <c r="E3" s="256"/>
      <c r="F3" s="256"/>
      <c r="G3" s="256"/>
      <c r="H3" s="256"/>
      <c r="I3" s="256"/>
      <c r="J3" s="256"/>
      <c r="K3" s="256"/>
      <c r="L3" s="256"/>
      <c r="M3" s="257"/>
      <c r="N3" s="267" t="s">
        <v>118</v>
      </c>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9"/>
      <c r="BB3" s="270" t="s">
        <v>119</v>
      </c>
      <c r="BC3" s="271"/>
      <c r="BD3" s="271"/>
      <c r="BE3" s="271"/>
      <c r="BF3" s="271"/>
      <c r="BG3" s="271"/>
      <c r="BH3" s="271"/>
      <c r="BI3" s="271"/>
      <c r="BJ3" s="271"/>
      <c r="BK3" s="271"/>
      <c r="BL3" s="271"/>
      <c r="BM3" s="271"/>
      <c r="BN3" s="271"/>
      <c r="BO3" s="271"/>
      <c r="BP3" s="271"/>
      <c r="BQ3" s="271"/>
      <c r="BR3" s="272"/>
      <c r="BS3" s="283" t="s">
        <v>120</v>
      </c>
      <c r="BT3" s="284"/>
      <c r="BU3" s="284"/>
      <c r="BV3" s="284"/>
      <c r="BW3" s="284"/>
      <c r="BX3" s="284"/>
      <c r="BY3" s="284"/>
      <c r="BZ3" s="285"/>
      <c r="CA3" s="289" t="s">
        <v>121</v>
      </c>
      <c r="CB3" s="290"/>
      <c r="CC3" s="290"/>
      <c r="CD3" s="290"/>
      <c r="CE3" s="290"/>
      <c r="CF3" s="290"/>
      <c r="CG3" s="290"/>
      <c r="CH3" s="291"/>
      <c r="CI3" s="279" t="s">
        <v>122</v>
      </c>
      <c r="CJ3" s="280"/>
      <c r="CK3" s="280"/>
      <c r="CL3" s="280"/>
      <c r="CM3" s="280"/>
      <c r="CN3" s="280"/>
      <c r="CO3" s="280"/>
      <c r="CP3" s="280"/>
    </row>
    <row r="4" spans="1:94" ht="21.6" thickBot="1" x14ac:dyDescent="0.35">
      <c r="A4" s="258"/>
      <c r="B4" s="259"/>
      <c r="C4" s="259"/>
      <c r="D4" s="259"/>
      <c r="E4" s="259"/>
      <c r="F4" s="259"/>
      <c r="G4" s="259"/>
      <c r="H4" s="259"/>
      <c r="I4" s="259"/>
      <c r="J4" s="259"/>
      <c r="K4" s="259"/>
      <c r="L4" s="259"/>
      <c r="M4" s="260"/>
      <c r="N4" s="264">
        <v>2018</v>
      </c>
      <c r="O4" s="265"/>
      <c r="P4" s="265"/>
      <c r="Q4" s="266"/>
      <c r="R4" s="261">
        <v>2019</v>
      </c>
      <c r="S4" s="262"/>
      <c r="T4" s="262"/>
      <c r="U4" s="263"/>
      <c r="V4" s="264">
        <v>2020</v>
      </c>
      <c r="W4" s="265"/>
      <c r="X4" s="265"/>
      <c r="Y4" s="266"/>
      <c r="Z4" s="261">
        <v>2021</v>
      </c>
      <c r="AA4" s="262"/>
      <c r="AB4" s="262"/>
      <c r="AC4" s="263"/>
      <c r="AD4" s="264">
        <v>2022</v>
      </c>
      <c r="AE4" s="265"/>
      <c r="AF4" s="265"/>
      <c r="AG4" s="266"/>
      <c r="AH4" s="261">
        <v>2023</v>
      </c>
      <c r="AI4" s="262"/>
      <c r="AJ4" s="262"/>
      <c r="AK4" s="263"/>
      <c r="AL4" s="264">
        <v>2024</v>
      </c>
      <c r="AM4" s="265"/>
      <c r="AN4" s="265"/>
      <c r="AO4" s="266"/>
      <c r="AP4" s="261">
        <v>2025</v>
      </c>
      <c r="AQ4" s="262"/>
      <c r="AR4" s="262"/>
      <c r="AS4" s="263"/>
      <c r="AT4" s="124"/>
      <c r="AU4" s="124"/>
      <c r="AV4" s="124"/>
      <c r="AW4" s="124"/>
      <c r="AX4" s="124"/>
      <c r="AY4" s="124"/>
      <c r="AZ4" s="124"/>
      <c r="BA4" s="126"/>
      <c r="BB4" s="273"/>
      <c r="BC4" s="274"/>
      <c r="BD4" s="274"/>
      <c r="BE4" s="274"/>
      <c r="BF4" s="274"/>
      <c r="BG4" s="274"/>
      <c r="BH4" s="274"/>
      <c r="BI4" s="274"/>
      <c r="BJ4" s="274"/>
      <c r="BK4" s="274"/>
      <c r="BL4" s="274"/>
      <c r="BM4" s="274"/>
      <c r="BN4" s="274"/>
      <c r="BO4" s="274"/>
      <c r="BP4" s="274"/>
      <c r="BQ4" s="274"/>
      <c r="BR4" s="275"/>
      <c r="BS4" s="286"/>
      <c r="BT4" s="287"/>
      <c r="BU4" s="287"/>
      <c r="BV4" s="287"/>
      <c r="BW4" s="287"/>
      <c r="BX4" s="287"/>
      <c r="BY4" s="287"/>
      <c r="BZ4" s="288"/>
      <c r="CA4" s="276"/>
      <c r="CB4" s="277"/>
      <c r="CC4" s="277"/>
      <c r="CD4" s="277"/>
      <c r="CE4" s="277"/>
      <c r="CF4" s="277"/>
      <c r="CG4" s="277"/>
      <c r="CH4" s="278"/>
      <c r="CI4" s="281"/>
      <c r="CJ4" s="282"/>
      <c r="CK4" s="282"/>
      <c r="CL4" s="282"/>
      <c r="CM4" s="282"/>
      <c r="CN4" s="282"/>
      <c r="CO4" s="282"/>
      <c r="CP4" s="282"/>
    </row>
    <row r="5" spans="1:94" ht="28.2" thickBot="1" x14ac:dyDescent="0.35">
      <c r="A5" s="230" t="s">
        <v>123</v>
      </c>
      <c r="B5" s="230" t="s">
        <v>124</v>
      </c>
      <c r="C5" s="230" t="s">
        <v>125</v>
      </c>
      <c r="D5" s="231" t="s">
        <v>126</v>
      </c>
      <c r="E5" s="231" t="s">
        <v>127</v>
      </c>
      <c r="F5" s="232" t="s">
        <v>128</v>
      </c>
      <c r="G5" s="231" t="s">
        <v>129</v>
      </c>
      <c r="H5" s="231" t="s">
        <v>130</v>
      </c>
      <c r="I5" s="231" t="s">
        <v>131</v>
      </c>
      <c r="J5" s="231" t="s">
        <v>132</v>
      </c>
      <c r="K5" s="231" t="s">
        <v>133</v>
      </c>
      <c r="L5" s="231" t="s">
        <v>134</v>
      </c>
      <c r="M5" s="233" t="s">
        <v>135</v>
      </c>
      <c r="N5" s="11" t="s">
        <v>136</v>
      </c>
      <c r="O5" s="11" t="s">
        <v>137</v>
      </c>
      <c r="P5" s="12" t="s">
        <v>138</v>
      </c>
      <c r="Q5" s="30" t="s">
        <v>139</v>
      </c>
      <c r="R5" s="13" t="s">
        <v>140</v>
      </c>
      <c r="S5" s="14" t="s">
        <v>141</v>
      </c>
      <c r="T5" s="13" t="s">
        <v>142</v>
      </c>
      <c r="U5" s="14" t="s">
        <v>143</v>
      </c>
      <c r="V5" s="11" t="s">
        <v>144</v>
      </c>
      <c r="W5" s="11" t="s">
        <v>145</v>
      </c>
      <c r="X5" s="12" t="s">
        <v>146</v>
      </c>
      <c r="Y5" s="30" t="s">
        <v>147</v>
      </c>
      <c r="Z5" s="13" t="s">
        <v>148</v>
      </c>
      <c r="AA5" s="14" t="s">
        <v>149</v>
      </c>
      <c r="AB5" s="13" t="s">
        <v>150</v>
      </c>
      <c r="AC5" s="14" t="s">
        <v>151</v>
      </c>
      <c r="AD5" s="11" t="s">
        <v>152</v>
      </c>
      <c r="AE5" s="11" t="s">
        <v>153</v>
      </c>
      <c r="AF5" s="12" t="s">
        <v>154</v>
      </c>
      <c r="AG5" s="30" t="s">
        <v>155</v>
      </c>
      <c r="AH5" s="11" t="s">
        <v>156</v>
      </c>
      <c r="AI5" s="11" t="s">
        <v>157</v>
      </c>
      <c r="AJ5" s="12" t="s">
        <v>158</v>
      </c>
      <c r="AK5" s="30" t="s">
        <v>159</v>
      </c>
      <c r="AL5" s="11" t="s">
        <v>160</v>
      </c>
      <c r="AM5" s="11" t="s">
        <v>161</v>
      </c>
      <c r="AN5" s="12" t="s">
        <v>162</v>
      </c>
      <c r="AO5" s="30" t="s">
        <v>163</v>
      </c>
      <c r="AP5" s="11" t="s">
        <v>164</v>
      </c>
      <c r="AQ5" s="11" t="s">
        <v>165</v>
      </c>
      <c r="AR5" s="12" t="s">
        <v>166</v>
      </c>
      <c r="AS5" s="30" t="s">
        <v>167</v>
      </c>
      <c r="AT5" s="6" t="s">
        <v>168</v>
      </c>
      <c r="AU5" s="7" t="s">
        <v>169</v>
      </c>
      <c r="AV5" s="8" t="s">
        <v>170</v>
      </c>
      <c r="AW5" s="7" t="s">
        <v>171</v>
      </c>
      <c r="AX5" s="7" t="s">
        <v>172</v>
      </c>
      <c r="AY5" s="7" t="s">
        <v>173</v>
      </c>
      <c r="AZ5" s="7" t="s">
        <v>174</v>
      </c>
      <c r="BA5" s="7" t="s">
        <v>175</v>
      </c>
      <c r="BB5" s="24" t="s">
        <v>176</v>
      </c>
      <c r="BC5" s="25" t="s">
        <v>177</v>
      </c>
      <c r="BD5" s="25" t="s">
        <v>178</v>
      </c>
      <c r="BE5" s="25" t="s">
        <v>179</v>
      </c>
      <c r="BF5" s="25" t="s">
        <v>180</v>
      </c>
      <c r="BG5" s="25" t="s">
        <v>181</v>
      </c>
      <c r="BH5" s="25" t="s">
        <v>182</v>
      </c>
      <c r="BI5" s="113" t="s">
        <v>183</v>
      </c>
      <c r="BJ5" s="5" t="s">
        <v>184</v>
      </c>
      <c r="BK5" s="3" t="s">
        <v>185</v>
      </c>
      <c r="BL5" s="4" t="s">
        <v>186</v>
      </c>
      <c r="BM5" s="4" t="s">
        <v>187</v>
      </c>
      <c r="BN5" s="4" t="s">
        <v>188</v>
      </c>
      <c r="BO5" s="4" t="s">
        <v>189</v>
      </c>
      <c r="BP5" s="27" t="s">
        <v>190</v>
      </c>
      <c r="BQ5" s="114" t="s">
        <v>191</v>
      </c>
      <c r="BR5" s="27" t="s">
        <v>192</v>
      </c>
      <c r="BS5" s="53" t="s">
        <v>176</v>
      </c>
      <c r="BT5" s="53" t="s">
        <v>177</v>
      </c>
      <c r="BU5" s="53" t="s">
        <v>178</v>
      </c>
      <c r="BV5" s="53" t="s">
        <v>179</v>
      </c>
      <c r="BW5" s="53" t="s">
        <v>180</v>
      </c>
      <c r="BX5" s="53" t="s">
        <v>181</v>
      </c>
      <c r="BY5" s="120" t="s">
        <v>182</v>
      </c>
      <c r="BZ5" s="120" t="s">
        <v>183</v>
      </c>
      <c r="CA5" s="49" t="s">
        <v>176</v>
      </c>
      <c r="CB5" s="50" t="s">
        <v>177</v>
      </c>
      <c r="CC5" s="49" t="s">
        <v>178</v>
      </c>
      <c r="CD5" s="50" t="s">
        <v>179</v>
      </c>
      <c r="CE5" s="50" t="s">
        <v>180</v>
      </c>
      <c r="CF5" s="50" t="s">
        <v>181</v>
      </c>
      <c r="CG5" s="51" t="s">
        <v>182</v>
      </c>
      <c r="CH5" s="51" t="s">
        <v>183</v>
      </c>
      <c r="CI5" s="234" t="s">
        <v>176</v>
      </c>
      <c r="CJ5" s="234" t="s">
        <v>177</v>
      </c>
      <c r="CK5" s="234" t="s">
        <v>178</v>
      </c>
      <c r="CL5" s="234" t="s">
        <v>179</v>
      </c>
      <c r="CM5" s="234" t="s">
        <v>180</v>
      </c>
      <c r="CN5" s="235" t="s">
        <v>181</v>
      </c>
      <c r="CO5" s="236" t="s">
        <v>182</v>
      </c>
      <c r="CP5" s="235" t="s">
        <v>183</v>
      </c>
    </row>
    <row r="6" spans="1:94" ht="43.2" hidden="1" x14ac:dyDescent="0.3">
      <c r="A6" s="2">
        <v>1</v>
      </c>
      <c r="B6" t="str">
        <f>+LEFT(Info_Productos_Cuantitativo[[#This Row],[Producto esperado]],2)</f>
        <v>1.</v>
      </c>
      <c r="C6" s="127" t="s">
        <v>193</v>
      </c>
      <c r="D6" s="127" t="s">
        <v>194</v>
      </c>
      <c r="E6" s="128" t="s">
        <v>31</v>
      </c>
      <c r="F6" s="129">
        <v>0.02</v>
      </c>
      <c r="G6" s="130"/>
      <c r="H6" s="130" t="s">
        <v>10</v>
      </c>
      <c r="I6" s="130" t="s">
        <v>30</v>
      </c>
      <c r="J6" s="131">
        <v>44927</v>
      </c>
      <c r="K6" s="132">
        <v>46387</v>
      </c>
      <c r="L6" s="94" t="str" cm="1">
        <f t="array" ref="L6">+_xlfn.CONCAT("Q",LEFT(LOOKUP(2,1/(Cuantitativo_Productos[[#This Row],[1er Trimestre 2018]:[4o Trimestre 2025]]&lt;&gt;""),Cuantitativo_Productos[[#Headers],[1er Trimestre 2018]:[4o Trimestre 2025]]),1))</f>
        <v>Q2</v>
      </c>
      <c r="M6" s="122" t="str" cm="1">
        <f t="array" ref="M6">+RIGHT(LOOKUP(2,1/(Cuantitativo_Productos[[#This Row],[1er Trimestre 2018]:[4o Trimestre 2025]]&lt;&gt;""),Cuantitativo_Productos[[#Headers],[1er Trimestre 2018]:[4o Trimestre 2025]]),4)</f>
        <v>2025</v>
      </c>
      <c r="N6" s="28"/>
      <c r="O6" s="31"/>
      <c r="P6" s="31"/>
      <c r="Q6" s="36"/>
      <c r="R6" s="37"/>
      <c r="S6" s="38"/>
      <c r="T6" s="38"/>
      <c r="U6" s="36"/>
      <c r="V6" s="37"/>
      <c r="W6" s="38"/>
      <c r="X6" s="38"/>
      <c r="Y6" s="36"/>
      <c r="Z6" s="37"/>
      <c r="AA6" s="38"/>
      <c r="AB6" s="38"/>
      <c r="AC6" s="36"/>
      <c r="AD6" s="37"/>
      <c r="AE6" s="39"/>
      <c r="AF6" s="39"/>
      <c r="AG6" s="36"/>
      <c r="AH6" s="37"/>
      <c r="AI6" s="180">
        <v>0.1</v>
      </c>
      <c r="AJ6" s="136">
        <v>0.25</v>
      </c>
      <c r="AK6" s="179">
        <v>0.3</v>
      </c>
      <c r="AL6" s="39"/>
      <c r="AM6" s="136"/>
      <c r="AN6" s="39"/>
      <c r="AO6" s="111">
        <v>0.5</v>
      </c>
      <c r="AP6" s="39"/>
      <c r="AQ6" s="39">
        <f t="shared" ref="AQ6:AQ35" si="0">1914+1596</f>
        <v>3510</v>
      </c>
      <c r="AR6" s="116"/>
      <c r="AS6" s="116"/>
      <c r="AT6" s="95" t="str" cm="1">
        <f t="array" aca="1" ref="AT6"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6" s="95" t="str" cm="1">
        <f t="array" aca="1" ref="AU6"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6" s="95" t="str" cm="1">
        <f t="array" aca="1" ref="AV6"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6" s="95" t="str" cm="1">
        <f t="array" aca="1" ref="AW6"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6" s="95" t="str" cm="1">
        <f t="array" aca="1" ref="AX6"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6" s="95" t="e" cm="1">
        <f t="array" aca="1" ref="AY6"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#NAME?</v>
      </c>
      <c r="AZ6" s="97" t="e" cm="1">
        <f t="array" aca="1" ref="AZ6"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#NAME?</v>
      </c>
      <c r="BA6" s="97" t="e" cm="1">
        <f t="array" aca="1" ref="BA6"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#NAME?</v>
      </c>
      <c r="BB6" s="117"/>
      <c r="BC6" s="117"/>
      <c r="BD6" s="116"/>
      <c r="BE6" s="116"/>
      <c r="BF6" s="35"/>
      <c r="BG6" s="172">
        <v>0.3</v>
      </c>
      <c r="BH6" s="173">
        <v>0.5</v>
      </c>
      <c r="BI6" s="173">
        <v>0.8</v>
      </c>
      <c r="BJ6" s="167">
        <v>1</v>
      </c>
      <c r="BK6" s="95" t="str" cm="1">
        <f t="array" aca="1" ref="BK6"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6" s="100" t="s" cm="1">
        <v>195</v>
      </c>
      <c r="BM6" s="100" t="s" cm="1">
        <v>195</v>
      </c>
      <c r="BN6" s="100" t="s" cm="1">
        <v>195</v>
      </c>
      <c r="BO6" s="100" t="s" cm="1">
        <v>195</v>
      </c>
      <c r="BP6" s="121" cm="1">
        <v>0.3</v>
      </c>
      <c r="BQ6" s="119" cm="1">
        <v>0.5</v>
      </c>
      <c r="BR6" s="125" cm="1">
        <v>0.65</v>
      </c>
      <c r="BS6" s="9" t="str" cm="1">
        <f t="array" aca="1" ref="BS6"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6" s="10" t="str" cm="1">
        <f t="array" aca="1" ref="BT6"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6" s="10" t="str" cm="1">
        <f t="array" aca="1" ref="BU6"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6" s="10" t="str" cm="1">
        <f t="array" aca="1" ref="BV6"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6" s="10" t="str" cm="1">
        <f t="array" aca="1" ref="BW6"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6" s="10" t="e" cm="1">
        <f t="array" aca="1" ref="BX6"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#NAME?</v>
      </c>
      <c r="BY6" s="10" t="e" cm="1">
        <f t="array" aca="1" ref="BY6"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#NAME?</v>
      </c>
      <c r="BZ6" s="10" t="e" cm="1">
        <f t="array" aca="1" ref="BZ6"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#NAME?</v>
      </c>
      <c r="CA6" s="106" t="str" cm="1">
        <f t="array" aca="1" ref="CA6"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6" s="107" t="str" cm="1">
        <f t="array" aca="1" ref="CB6"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6" s="107" t="str" cm="1">
        <f t="array" aca="1" ref="CC6"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6" s="107" t="str" cm="1">
        <f t="array" aca="1" ref="CD6"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6" s="107" t="str" cm="1">
        <f t="array" aca="1" ref="CE6"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6" s="107" t="e" cm="1">
        <f t="array" aca="1" ref="CF6"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#NAME?</v>
      </c>
      <c r="CG6" s="123" t="e" cm="1">
        <f t="array" aca="1" ref="CG6"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#NAME?</v>
      </c>
      <c r="CH6" s="123" t="e" cm="1">
        <f t="array" aca="1" ref="CH6"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#NAME?</v>
      </c>
      <c r="CI6" s="21" t="str" cm="1">
        <f t="array" aca="1" ref="CI6"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6" s="54" t="str" cm="1">
        <f t="array" aca="1" ref="CJ6"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6" s="54" t="str" cm="1">
        <f t="array" aca="1" ref="CK6"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6" s="54" t="str" cm="1">
        <f t="array" aca="1" ref="CL6"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6" s="54" t="str" cm="1">
        <f t="array" aca="1" ref="CM6"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6" s="54" t="e" cm="1">
        <f t="array" aca="1" ref="CN6"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#NAME?</v>
      </c>
      <c r="CO6" s="115" t="e" cm="1">
        <f t="array" aca="1" ref="CO6"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#NAME?</v>
      </c>
      <c r="CP6" s="55" t="e" cm="1">
        <f t="array" aca="1" ref="CP6"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#NAME?</v>
      </c>
    </row>
    <row r="7" spans="1:94" ht="43.2" hidden="1" x14ac:dyDescent="0.3">
      <c r="A7" s="2">
        <v>2</v>
      </c>
      <c r="B7" t="str">
        <f>+LEFT(Info_Productos_Cuantitativo[[#This Row],[Producto esperado]],2)</f>
        <v>1.</v>
      </c>
      <c r="C7" s="127" t="s">
        <v>196</v>
      </c>
      <c r="D7" s="127" t="s">
        <v>197</v>
      </c>
      <c r="E7" s="128" t="s">
        <v>13</v>
      </c>
      <c r="F7" s="129">
        <v>0.01</v>
      </c>
      <c r="G7" s="130">
        <v>1</v>
      </c>
      <c r="H7" s="130" t="s">
        <v>25</v>
      </c>
      <c r="I7" s="130" t="s">
        <v>30</v>
      </c>
      <c r="J7" s="133">
        <v>44562</v>
      </c>
      <c r="K7" s="134">
        <v>48579</v>
      </c>
      <c r="L7" s="94" t="str" cm="1">
        <f t="array" ref="L7">+_xlfn.CONCAT("Q",LEFT(LOOKUP(2,1/(Cuantitativo_Productos[[#This Row],[1er Trimestre 2018]:[4o Trimestre 2025]]&lt;&gt;""),Cuantitativo_Productos[[#Headers],[1er Trimestre 2018]:[4o Trimestre 2025]]),1))</f>
        <v>Q2</v>
      </c>
      <c r="M7" s="108" t="str" cm="1">
        <f t="array" ref="M7">+RIGHT(LOOKUP(2,1/(Cuantitativo_Productos[[#This Row],[1er Trimestre 2018]:[4o Trimestre 2025]]&lt;&gt;""),Cuantitativo_Productos[[#Headers],[1er Trimestre 2018]:[4o Trimestre 2025]]),4)</f>
        <v>2025</v>
      </c>
      <c r="N7" s="28"/>
      <c r="O7" s="31"/>
      <c r="P7" s="31"/>
      <c r="Q7" s="36"/>
      <c r="R7" s="37"/>
      <c r="S7" s="38"/>
      <c r="T7" s="38"/>
      <c r="U7" s="36"/>
      <c r="V7" s="37"/>
      <c r="W7" s="38"/>
      <c r="X7" s="38"/>
      <c r="Y7" s="36"/>
      <c r="Z7" s="37"/>
      <c r="AA7" s="38"/>
      <c r="AB7" s="38"/>
      <c r="AC7" s="36"/>
      <c r="AD7" s="37"/>
      <c r="AE7" s="38"/>
      <c r="AF7" s="38"/>
      <c r="AG7" s="137">
        <v>1</v>
      </c>
      <c r="AH7" s="118"/>
      <c r="AI7" s="138"/>
      <c r="AJ7" s="117"/>
      <c r="AK7" s="139">
        <v>2</v>
      </c>
      <c r="AL7" s="39"/>
      <c r="AM7" s="39"/>
      <c r="AN7" s="39"/>
      <c r="AO7" s="116">
        <v>1</v>
      </c>
      <c r="AP7" s="39"/>
      <c r="AQ7" s="39">
        <f t="shared" si="0"/>
        <v>3510</v>
      </c>
      <c r="AR7" s="39"/>
      <c r="AS7" s="39"/>
      <c r="AT7" s="95" t="str" cm="1">
        <f t="array" aca="1" ref="AT7"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7" s="95" t="str" cm="1">
        <f t="array" aca="1" ref="AU7"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7" s="95" t="str" cm="1">
        <f t="array" aca="1" ref="AV7"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7" s="95" t="str" cm="1">
        <f t="array" aca="1" ref="AW7"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7" s="95" cm="1">
        <f t="array" aca="1" ref="AX7"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1</v>
      </c>
      <c r="AY7" s="95" cm="1">
        <f t="array" aca="1" ref="AY7"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3</v>
      </c>
      <c r="AZ7" s="95" cm="1">
        <f t="array" aca="1" ref="AZ7"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4</v>
      </c>
      <c r="BA7" s="95" cm="1">
        <f t="array" aca="1" ref="BA7"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3514</v>
      </c>
      <c r="BB7" s="118"/>
      <c r="BC7" s="117"/>
      <c r="BD7" s="117"/>
      <c r="BE7" s="117"/>
      <c r="BF7" s="237">
        <v>1</v>
      </c>
      <c r="BG7" s="237">
        <v>1</v>
      </c>
      <c r="BH7" s="174">
        <v>1</v>
      </c>
      <c r="BI7" s="174">
        <v>1</v>
      </c>
      <c r="BJ7" s="168">
        <v>11</v>
      </c>
      <c r="BK7" s="95" t="str" cm="1">
        <f t="array" aca="1" ref="BK7"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7" s="100" t="s" cm="1">
        <v>195</v>
      </c>
      <c r="BM7" s="100" t="s" cm="1">
        <v>195</v>
      </c>
      <c r="BN7" s="100" t="s" cm="1">
        <v>195</v>
      </c>
      <c r="BO7" s="100" cm="1">
        <v>1</v>
      </c>
      <c r="BP7" s="96" cm="1">
        <v>2</v>
      </c>
      <c r="BQ7" s="112" cm="1">
        <v>3</v>
      </c>
      <c r="BR7" s="112" cm="1">
        <v>3.5</v>
      </c>
      <c r="BS7" s="9" t="str" cm="1">
        <f t="array" aca="1" ref="BS7"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7" s="10" t="str" cm="1">
        <f t="array" aca="1" ref="BT7"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7" s="10" t="str" cm="1">
        <f t="array" aca="1" ref="BU7"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7" s="10" t="str" cm="1">
        <f t="array" aca="1" ref="BV7"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7" s="10" cm="1">
        <f t="array" aca="1" ref="BW7"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7" s="10" cm="1">
        <f t="array" aca="1" ref="BX7"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2</v>
      </c>
      <c r="BY7" s="10" cm="1">
        <f t="array" aca="1" ref="BY7"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7" s="10" cm="1">
        <f t="array" aca="1" ref="BZ7"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7020</v>
      </c>
      <c r="CA7" s="106" t="str" cm="1">
        <f t="array" aca="1" ref="CA7"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7" s="107" t="str" cm="1">
        <f t="array" aca="1" ref="CB7"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7" s="107" t="str" cm="1">
        <f t="array" aca="1" ref="CC7"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7" s="107" t="str" cm="1">
        <f t="array" aca="1" ref="CD7"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7" s="107" cm="1">
        <f t="array" aca="1" ref="CE7"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7" s="107" cm="1">
        <f t="array" aca="1" ref="CF7"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1.5</v>
      </c>
      <c r="CG7" s="123" cm="1">
        <f t="array" aca="1" ref="CG7"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1.3333333333333333</v>
      </c>
      <c r="CH7" s="123" cm="1">
        <f t="array" aca="1" ref="CH7"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1004</v>
      </c>
      <c r="CI7" s="21" t="str" cm="1">
        <f t="array" aca="1" ref="CI7"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7" s="54" t="str" cm="1">
        <f t="array" aca="1" ref="CJ7"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7" s="54" t="str" cm="1">
        <f t="array" aca="1" ref="CK7"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7" s="54" t="str" cm="1">
        <f t="array" aca="1" ref="CL7"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7" s="54" cm="1">
        <f t="array" aca="1" ref="CM7"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9.0909090909090912E-2</v>
      </c>
      <c r="CN7" s="54" cm="1">
        <f t="array" aca="1" ref="CN7"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0.27272727272727271</v>
      </c>
      <c r="CO7" s="115" cm="1">
        <f t="array" aca="1" ref="CO7"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0.36363636363636365</v>
      </c>
      <c r="CP7" s="55" cm="1">
        <f t="array" aca="1" ref="CP7"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319.45454545454544</v>
      </c>
    </row>
    <row r="8" spans="1:94" ht="86.4" hidden="1" x14ac:dyDescent="0.3">
      <c r="A8" s="2">
        <v>3</v>
      </c>
      <c r="B8" t="str">
        <f>+LEFT(Info_Productos_Cuantitativo[[#This Row],[Producto esperado]],2)</f>
        <v>1.</v>
      </c>
      <c r="C8" s="127" t="s">
        <v>198</v>
      </c>
      <c r="D8" s="127" t="s">
        <v>199</v>
      </c>
      <c r="E8" s="128" t="s">
        <v>43</v>
      </c>
      <c r="F8" s="129">
        <v>0.01</v>
      </c>
      <c r="G8" s="130">
        <v>1</v>
      </c>
      <c r="H8" s="130" t="s">
        <v>20</v>
      </c>
      <c r="I8" s="130" t="s">
        <v>26</v>
      </c>
      <c r="J8" s="133">
        <v>44927</v>
      </c>
      <c r="K8" s="134">
        <v>48579</v>
      </c>
      <c r="L8" s="94" t="str" cm="1">
        <f t="array" ref="L8">+_xlfn.CONCAT("Q",LEFT(LOOKUP(2,1/(Cuantitativo_Productos[[#This Row],[1er Trimestre 2018]:[4o Trimestre 2025]]&lt;&gt;""),Cuantitativo_Productos[[#Headers],[1er Trimestre 2018]:[4o Trimestre 2025]]),1))</f>
        <v>Q2</v>
      </c>
      <c r="M8" s="108" t="str" cm="1">
        <f t="array" ref="M8">+RIGHT(LOOKUP(2,1/(Cuantitativo_Productos[[#This Row],[1er Trimestre 2018]:[4o Trimestre 2025]]&lt;&gt;""),Cuantitativo_Productos[[#Headers],[1er Trimestre 2018]:[4o Trimestre 2025]]),4)</f>
        <v>2025</v>
      </c>
      <c r="N8" s="29"/>
      <c r="O8" s="31"/>
      <c r="P8" s="31"/>
      <c r="Q8" s="32"/>
      <c r="R8" s="28"/>
      <c r="S8" s="31"/>
      <c r="T8" s="31"/>
      <c r="U8" s="32"/>
      <c r="V8" s="28"/>
      <c r="W8" s="31"/>
      <c r="X8" s="31"/>
      <c r="Y8" s="32"/>
      <c r="Z8" s="28"/>
      <c r="AA8" s="31"/>
      <c r="AB8" s="31"/>
      <c r="AC8" s="32"/>
      <c r="AD8" s="28"/>
      <c r="AE8" s="31"/>
      <c r="AF8" s="31"/>
      <c r="AG8" s="32"/>
      <c r="AH8" s="28"/>
      <c r="AI8" s="140">
        <v>1</v>
      </c>
      <c r="AJ8" s="141"/>
      <c r="AK8" s="33">
        <v>1</v>
      </c>
      <c r="AL8" s="35"/>
      <c r="AM8" s="35">
        <v>1</v>
      </c>
      <c r="AN8" s="35"/>
      <c r="AO8" s="35">
        <v>1</v>
      </c>
      <c r="AP8" s="35"/>
      <c r="AQ8" s="189">
        <f t="shared" si="0"/>
        <v>3510</v>
      </c>
      <c r="AR8" s="35"/>
      <c r="AS8" s="35"/>
      <c r="AT8" s="98" t="str" cm="1">
        <f t="array" aca="1" ref="AT8"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8" s="98" t="str" cm="1">
        <f t="array" aca="1" ref="AU8"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8" s="98" t="str" cm="1">
        <f t="array" aca="1" ref="AV8"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8" s="98" t="str" cm="1">
        <f t="array" aca="1" ref="AW8"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8" s="98" t="str" cm="1">
        <f t="array" aca="1" ref="AX8"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8" s="98" cm="1">
        <f t="array" aca="1" ref="AY8"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v>
      </c>
      <c r="AZ8" s="98" cm="1">
        <f t="array" aca="1" ref="AZ8"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v>
      </c>
      <c r="BA8" s="98" cm="1">
        <f t="array" aca="1" ref="BA8"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v>
      </c>
      <c r="BB8" s="28"/>
      <c r="BC8" s="31"/>
      <c r="BD8" s="31"/>
      <c r="BE8" s="31"/>
      <c r="BF8" s="16"/>
      <c r="BG8" s="142">
        <v>1</v>
      </c>
      <c r="BH8" s="175">
        <v>1</v>
      </c>
      <c r="BI8" s="175">
        <v>1</v>
      </c>
      <c r="BJ8" s="169">
        <v>1</v>
      </c>
      <c r="BK8" s="101" t="str" cm="1">
        <f t="array" aca="1" ref="BK8"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8" s="102" t="s" cm="1">
        <v>195</v>
      </c>
      <c r="BM8" s="102" t="s" cm="1">
        <v>195</v>
      </c>
      <c r="BN8" s="102" t="s" cm="1">
        <v>195</v>
      </c>
      <c r="BO8" s="102" t="s" cm="1">
        <v>195</v>
      </c>
      <c r="BP8" s="103" cm="1">
        <v>1</v>
      </c>
      <c r="BQ8" s="112" cm="1">
        <v>1</v>
      </c>
      <c r="BR8" s="112" cm="1">
        <v>1</v>
      </c>
      <c r="BS8" s="9" t="str" cm="1">
        <f t="array" aca="1" ref="BS8"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8" s="10" t="str" cm="1">
        <f t="array" aca="1" ref="BT8"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8" s="10" t="str" cm="1">
        <f t="array" aca="1" ref="BU8"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8" s="10" t="str" cm="1">
        <f t="array" aca="1" ref="BV8"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8" s="10" t="str" cm="1">
        <f t="array" aca="1" ref="BW8"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8" s="10" cm="1">
        <f t="array" aca="1" ref="BX8"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v>
      </c>
      <c r="BY8" s="10" cm="1">
        <f t="array" aca="1" ref="BY8"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8" s="10" cm="1">
        <f t="array" aca="1" ref="BZ8"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3510</v>
      </c>
      <c r="CA8" s="106" t="str" cm="1">
        <f t="array" aca="1" ref="CA8"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8" s="107" t="str" cm="1">
        <f t="array" aca="1" ref="CB8"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8" s="107" t="str" cm="1">
        <f t="array" aca="1" ref="CC8"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8" s="107" t="str" cm="1">
        <f t="array" aca="1" ref="CD8"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8" s="107" t="str" cm="1">
        <f t="array" aca="1" ref="CE8"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8" s="107" cm="1">
        <f t="array" aca="1" ref="CF8"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v>
      </c>
      <c r="CG8" s="123" cm="1">
        <f t="array" aca="1" ref="CG8"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8" s="123" cm="1">
        <f t="array" aca="1" ref="CH8"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3510</v>
      </c>
      <c r="CI8" s="21" t="str" cm="1">
        <f t="array" aca="1" ref="CI8"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8" s="54" t="str" cm="1">
        <f t="array" aca="1" ref="CJ8"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8" s="54" t="str" cm="1">
        <f t="array" aca="1" ref="CK8"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8" s="54" t="str" cm="1">
        <f t="array" aca="1" ref="CL8"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8" s="54" t="str" cm="1">
        <f t="array" aca="1" ref="CM8"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8" s="54" cm="1">
        <f t="array" aca="1" ref="CN8"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1</v>
      </c>
      <c r="CO8" s="115" cm="1">
        <f t="array" aca="1" ref="CO8"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1</v>
      </c>
      <c r="CP8" s="55" cm="1">
        <f t="array" aca="1" ref="CP8"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3510</v>
      </c>
    </row>
    <row r="9" spans="1:94" ht="100.8" hidden="1" x14ac:dyDescent="0.3">
      <c r="A9" s="2">
        <v>4</v>
      </c>
      <c r="B9" t="str">
        <f>+LEFT(Info_Productos_Cuantitativo[[#This Row],[Producto esperado]],2)</f>
        <v>1.</v>
      </c>
      <c r="C9" s="127" t="s">
        <v>200</v>
      </c>
      <c r="D9" s="127" t="s">
        <v>201</v>
      </c>
      <c r="E9" s="128" t="s">
        <v>13</v>
      </c>
      <c r="F9" s="129">
        <v>0.01</v>
      </c>
      <c r="G9" s="130"/>
      <c r="H9" s="130" t="s">
        <v>25</v>
      </c>
      <c r="I9" s="130" t="s">
        <v>30</v>
      </c>
      <c r="J9" s="133">
        <v>44927</v>
      </c>
      <c r="K9" s="134">
        <v>48579</v>
      </c>
      <c r="L9" s="94" t="str" cm="1">
        <f t="array" ref="L9">+_xlfn.CONCAT("Q",LEFT(LOOKUP(2,1/(Cuantitativo_Productos[[#This Row],[1er Trimestre 2018]:[4o Trimestre 2025]]&lt;&gt;""),Cuantitativo_Productos[[#Headers],[1er Trimestre 2018]:[4o Trimestre 2025]]),1))</f>
        <v>Q2</v>
      </c>
      <c r="M9" s="108" t="str" cm="1">
        <f t="array" ref="M9">+RIGHT(LOOKUP(2,1/(Cuantitativo_Productos[[#This Row],[1er Trimestre 2018]:[4o Trimestre 2025]]&lt;&gt;""),Cuantitativo_Productos[[#Headers],[1er Trimestre 2018]:[4o Trimestre 2025]]),4)</f>
        <v>2025</v>
      </c>
      <c r="N9" s="28"/>
      <c r="O9" s="31"/>
      <c r="P9" s="31"/>
      <c r="Q9" s="32"/>
      <c r="R9" s="28"/>
      <c r="S9" s="31"/>
      <c r="T9" s="31"/>
      <c r="U9" s="32"/>
      <c r="V9" s="28"/>
      <c r="W9" s="31"/>
      <c r="X9" s="31"/>
      <c r="Y9" s="32"/>
      <c r="Z9" s="28"/>
      <c r="AA9" s="31"/>
      <c r="AB9" s="31"/>
      <c r="AC9" s="32"/>
      <c r="AD9" s="28"/>
      <c r="AE9" s="31"/>
      <c r="AF9" s="31"/>
      <c r="AG9" s="32"/>
      <c r="AH9" s="28"/>
      <c r="AI9" s="164">
        <v>1162</v>
      </c>
      <c r="AJ9" s="144">
        <v>3287</v>
      </c>
      <c r="AK9" s="152">
        <v>72175</v>
      </c>
      <c r="AL9" s="31"/>
      <c r="AM9" s="31"/>
      <c r="AN9" s="31"/>
      <c r="AO9" s="31">
        <v>5212</v>
      </c>
      <c r="AP9" s="31"/>
      <c r="AQ9" s="31">
        <f t="shared" si="0"/>
        <v>3510</v>
      </c>
      <c r="AR9" s="31"/>
      <c r="AS9" s="31"/>
      <c r="AT9" s="97" t="str" cm="1">
        <f t="array" aca="1" ref="AT9"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9" s="97" t="str" cm="1">
        <f t="array" aca="1" ref="AU9"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9" s="97" t="str" cm="1">
        <f t="array" aca="1" ref="AV9"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9" s="97" t="str" cm="1">
        <f t="array" aca="1" ref="AW9"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9" s="97" t="str" cm="1">
        <f t="array" aca="1" ref="AX9"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9" s="97" cm="1">
        <f t="array" aca="1" ref="AY9"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76624</v>
      </c>
      <c r="AZ9" s="97" cm="1">
        <f t="array" aca="1" ref="AZ9"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81836</v>
      </c>
      <c r="BA9" s="97" cm="1">
        <f t="array" aca="1" ref="BA9"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85346</v>
      </c>
      <c r="BB9" s="28"/>
      <c r="BC9" s="31"/>
      <c r="BD9" s="31"/>
      <c r="BE9" s="31"/>
      <c r="BF9" s="16"/>
      <c r="BG9" s="17">
        <v>19477</v>
      </c>
      <c r="BH9" s="176">
        <v>19671</v>
      </c>
      <c r="BI9" s="176">
        <v>19868</v>
      </c>
      <c r="BJ9" s="170">
        <v>203772.51366340299</v>
      </c>
      <c r="BK9" s="101" t="str" cm="1">
        <f t="array" aca="1" ref="BK9"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9" s="102" t="s" cm="1">
        <v>195</v>
      </c>
      <c r="BM9" s="102" t="s" cm="1">
        <v>195</v>
      </c>
      <c r="BN9" s="102" t="s" cm="1">
        <v>195</v>
      </c>
      <c r="BO9" s="102" t="s" cm="1">
        <v>195</v>
      </c>
      <c r="BP9" s="103" cm="1">
        <v>19477</v>
      </c>
      <c r="BQ9" s="112" cm="1">
        <v>39148</v>
      </c>
      <c r="BR9" s="112" cm="1">
        <v>49082</v>
      </c>
      <c r="BS9" s="9" t="str" cm="1">
        <f t="array" aca="1" ref="BS9"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9" s="10" t="str" cm="1">
        <f t="array" aca="1" ref="BT9"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9" s="10" t="str" cm="1">
        <f t="array" aca="1" ref="BU9"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9" s="10" t="str" cm="1">
        <f t="array" aca="1" ref="BV9"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9" s="10" t="str" cm="1">
        <f t="array" aca="1" ref="BW9"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9" s="10" cm="1">
        <f t="array" aca="1" ref="BX9"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3.9340760897468807</v>
      </c>
      <c r="BY9" s="10" cm="1">
        <f t="array" aca="1" ref="BY9"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0.26495856845101928</v>
      </c>
      <c r="BZ9" s="10" cm="1">
        <f t="array" aca="1" ref="BZ9"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0.35333199114153413</v>
      </c>
      <c r="CA9" s="106" t="str" cm="1">
        <f t="array" aca="1" ref="CA9"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9" s="107" t="str" cm="1">
        <f t="array" aca="1" ref="CB9"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9" s="107" t="str" cm="1">
        <f t="array" aca="1" ref="CC9"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9" s="107" t="str" cm="1">
        <f t="array" aca="1" ref="CD9"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9" s="107" t="str" cm="1">
        <f t="array" aca="1" ref="CE9"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9" s="107" cm="1">
        <f t="array" aca="1" ref="CF9"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3.9340760897468807</v>
      </c>
      <c r="CG9" s="123" cm="1">
        <f t="array" aca="1" ref="CG9"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2.090426075406151</v>
      </c>
      <c r="CH9" s="123" cm="1">
        <f t="array" aca="1" ref="CH9"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1.7388451978321993</v>
      </c>
      <c r="CI9" s="21" t="str" cm="1">
        <f t="array" aca="1" ref="CI9"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9" s="54" t="str" cm="1">
        <f t="array" aca="1" ref="CJ9"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9" s="54" t="str" cm="1">
        <f t="array" aca="1" ref="CK9"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9" s="54" t="str" cm="1">
        <f t="array" aca="1" ref="CL9"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9" s="54" t="str" cm="1">
        <f t="array" aca="1" ref="CM9"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9" s="54" cm="1">
        <f t="array" aca="1" ref="CN9"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0.37602716196831931</v>
      </c>
      <c r="CO9" s="115" cm="1">
        <f t="array" aca="1" ref="CO9"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0.40160470383743191</v>
      </c>
      <c r="CP9" s="55" cm="1">
        <f t="array" aca="1" ref="CP9"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0.41882979439011514</v>
      </c>
    </row>
    <row r="10" spans="1:94" ht="28.8" hidden="1" x14ac:dyDescent="0.3">
      <c r="A10" s="2">
        <v>5</v>
      </c>
      <c r="B10" t="str">
        <f>+LEFT(Info_Productos_Cuantitativo[[#This Row],[Producto esperado]],2)</f>
        <v>1.</v>
      </c>
      <c r="C10" s="127" t="s">
        <v>202</v>
      </c>
      <c r="D10" s="127" t="s">
        <v>203</v>
      </c>
      <c r="E10" s="128" t="s">
        <v>23</v>
      </c>
      <c r="F10" s="129">
        <v>0.01</v>
      </c>
      <c r="G10" s="130">
        <v>28000</v>
      </c>
      <c r="H10" s="130" t="s">
        <v>25</v>
      </c>
      <c r="I10" s="130" t="s">
        <v>30</v>
      </c>
      <c r="J10" s="133">
        <v>44927</v>
      </c>
      <c r="K10" s="134">
        <v>48578</v>
      </c>
      <c r="L10" s="94" t="str" cm="1">
        <f t="array" ref="L10">+_xlfn.CONCAT("Q",LEFT(LOOKUP(2,1/(Cuantitativo_Productos[[#This Row],[1er Trimestre 2018]:[4o Trimestre 2025]]&lt;&gt;""),Cuantitativo_Productos[[#Headers],[1er Trimestre 2018]:[4o Trimestre 2025]]),1))</f>
        <v>Q2</v>
      </c>
      <c r="M10" s="108" t="str" cm="1">
        <f t="array" ref="M10">+RIGHT(LOOKUP(2,1/(Cuantitativo_Productos[[#This Row],[1er Trimestre 2018]:[4o Trimestre 2025]]&lt;&gt;""),Cuantitativo_Productos[[#Headers],[1er Trimestre 2018]:[4o Trimestre 2025]]),4)</f>
        <v>2025</v>
      </c>
      <c r="N10" s="28"/>
      <c r="O10" s="31"/>
      <c r="P10" s="31"/>
      <c r="Q10" s="32"/>
      <c r="R10" s="28"/>
      <c r="S10" s="31"/>
      <c r="T10" s="31"/>
      <c r="U10" s="32"/>
      <c r="V10" s="28"/>
      <c r="W10" s="31"/>
      <c r="X10" s="31"/>
      <c r="Y10" s="32"/>
      <c r="Z10" s="28"/>
      <c r="AA10" s="31"/>
      <c r="AB10" s="31"/>
      <c r="AC10" s="32"/>
      <c r="AD10" s="28"/>
      <c r="AE10" s="31"/>
      <c r="AF10" s="31"/>
      <c r="AG10" s="32"/>
      <c r="AH10" s="28"/>
      <c r="AI10" s="143"/>
      <c r="AJ10" s="31"/>
      <c r="AK10" s="162">
        <v>36825</v>
      </c>
      <c r="AL10" s="31"/>
      <c r="AM10" s="31"/>
      <c r="AN10" s="31"/>
      <c r="AO10" s="31">
        <v>30973</v>
      </c>
      <c r="AP10" s="31"/>
      <c r="AQ10" s="31">
        <f t="shared" si="0"/>
        <v>3510</v>
      </c>
      <c r="AR10" s="31"/>
      <c r="AS10" s="31"/>
      <c r="AT10" s="97" t="str" cm="1">
        <f t="array" aca="1" ref="AT10"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0" s="97" t="str" cm="1">
        <f t="array" aca="1" ref="AU10"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0" s="97" t="str" cm="1">
        <f t="array" aca="1" ref="AV10"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0" s="97" t="str" cm="1">
        <f t="array" aca="1" ref="AW10"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0" s="97" t="str" cm="1">
        <f t="array" aca="1" ref="AX10"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10" s="97" cm="1">
        <f t="array" aca="1" ref="AY10"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36825</v>
      </c>
      <c r="AZ10" s="97" cm="1">
        <f t="array" aca="1" ref="AZ10"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67798</v>
      </c>
      <c r="BA10" s="97" cm="1">
        <f t="array" aca="1" ref="BA10"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71308</v>
      </c>
      <c r="BB10" s="28"/>
      <c r="BC10" s="31"/>
      <c r="BD10" s="31"/>
      <c r="BE10" s="31"/>
      <c r="BF10" s="16"/>
      <c r="BG10" s="17">
        <v>28000</v>
      </c>
      <c r="BH10" s="176">
        <v>28000</v>
      </c>
      <c r="BI10" s="176">
        <v>28000</v>
      </c>
      <c r="BJ10" s="170">
        <v>280000</v>
      </c>
      <c r="BK10" s="101" t="str" cm="1">
        <f t="array" aca="1" ref="BK10"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0" s="102" t="s" cm="1">
        <v>195</v>
      </c>
      <c r="BM10" s="102" t="s" cm="1">
        <v>195</v>
      </c>
      <c r="BN10" s="102" t="s" cm="1">
        <v>195</v>
      </c>
      <c r="BO10" s="102" t="s" cm="1">
        <v>195</v>
      </c>
      <c r="BP10" s="103" cm="1">
        <v>28000</v>
      </c>
      <c r="BQ10" s="112" cm="1">
        <v>56000</v>
      </c>
      <c r="BR10" s="112" cm="1">
        <v>70000</v>
      </c>
      <c r="BS10" s="9" t="str" cm="1">
        <f t="array" aca="1" ref="BS10"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0" s="10" t="str" cm="1">
        <f t="array" aca="1" ref="BT10"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0" s="10" t="str" cm="1">
        <f t="array" aca="1" ref="BU10"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0" s="10" t="str" cm="1">
        <f t="array" aca="1" ref="BV10"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0" s="10" t="str" cm="1">
        <f t="array" aca="1" ref="BW10"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10" s="10" cm="1">
        <f t="array" aca="1" ref="BX10"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1.3151785714285715</v>
      </c>
      <c r="BY10" s="10" cm="1">
        <f t="array" aca="1" ref="BY10"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1.1061785714285715</v>
      </c>
      <c r="BZ10" s="10" cm="1">
        <f t="array" aca="1" ref="BZ10"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0.25071428571428572</v>
      </c>
      <c r="CA10" s="106" t="str" cm="1">
        <f t="array" aca="1" ref="CA10"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0" s="107" t="str" cm="1">
        <f t="array" aca="1" ref="CB10"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0" s="107" t="str" cm="1">
        <f t="array" aca="1" ref="CC10"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0" s="107" t="str" cm="1">
        <f t="array" aca="1" ref="CD10"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0" s="107" t="str" cm="1">
        <f t="array" aca="1" ref="CE10"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10" s="107" cm="1">
        <f t="array" aca="1" ref="CF10"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1.3151785714285715</v>
      </c>
      <c r="CG10" s="123" cm="1">
        <f t="array" aca="1" ref="CG10"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1.2106785714285715</v>
      </c>
      <c r="CH10" s="123" cm="1">
        <f t="array" aca="1" ref="CH10"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1.0186857142857142</v>
      </c>
      <c r="CI10" s="21" t="str" cm="1">
        <f t="array" aca="1" ref="CI10"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0" s="54" t="str" cm="1">
        <f t="array" aca="1" ref="CJ10"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0" s="54" t="str" cm="1">
        <f t="array" aca="1" ref="CK10"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0" s="54" t="str" cm="1">
        <f t="array" aca="1" ref="CL10"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0" s="54" t="str" cm="1">
        <f t="array" aca="1" ref="CM10"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10" s="54" cm="1">
        <f t="array" aca="1" ref="CN10"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0.13151785714285713</v>
      </c>
      <c r="CO10" s="115" cm="1">
        <f t="array" aca="1" ref="CO10"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0.24213571428571429</v>
      </c>
      <c r="CP10" s="55" cm="1">
        <f t="array" aca="1" ref="CP10"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0.25467142857142855</v>
      </c>
    </row>
    <row r="11" spans="1:94" ht="86.4" hidden="1" x14ac:dyDescent="0.3">
      <c r="A11" s="2">
        <v>6</v>
      </c>
      <c r="B11" t="str">
        <f>+LEFT(Info_Productos_Cuantitativo[[#This Row],[Producto esperado]],2)</f>
        <v>1.</v>
      </c>
      <c r="C11" s="127" t="s">
        <v>204</v>
      </c>
      <c r="D11" s="127" t="s">
        <v>205</v>
      </c>
      <c r="E11" s="128" t="s">
        <v>57</v>
      </c>
      <c r="F11" s="129">
        <v>0.01</v>
      </c>
      <c r="G11" s="130">
        <v>75</v>
      </c>
      <c r="H11" s="130" t="s">
        <v>25</v>
      </c>
      <c r="I11" s="130" t="s">
        <v>21</v>
      </c>
      <c r="J11" s="133">
        <v>44927</v>
      </c>
      <c r="K11" s="134">
        <v>48579</v>
      </c>
      <c r="L11" s="94" t="str" cm="1">
        <f t="array" ref="L11">+_xlfn.CONCAT("Q",LEFT(LOOKUP(2,1/(Cuantitativo_Productos[[#This Row],[1er Trimestre 2018]:[4o Trimestre 2025]]&lt;&gt;""),Cuantitativo_Productos[[#Headers],[1er Trimestre 2018]:[4o Trimestre 2025]]),1))</f>
        <v>Q2</v>
      </c>
      <c r="M11" s="108" t="str" cm="1">
        <f t="array" ref="M11">+RIGHT(LOOKUP(2,1/(Cuantitativo_Productos[[#This Row],[1er Trimestre 2018]:[4o Trimestre 2025]]&lt;&gt;""),Cuantitativo_Productos[[#Headers],[1er Trimestre 2018]:[4o Trimestre 2025]]),4)</f>
        <v>2025</v>
      </c>
      <c r="N11" s="28"/>
      <c r="O11" s="31"/>
      <c r="P11" s="31"/>
      <c r="Q11" s="32"/>
      <c r="R11" s="28"/>
      <c r="S11" s="31"/>
      <c r="T11" s="31"/>
      <c r="U11" s="32"/>
      <c r="V11" s="28"/>
      <c r="W11" s="31"/>
      <c r="X11" s="31"/>
      <c r="Y11" s="32"/>
      <c r="Z11" s="28"/>
      <c r="AA11" s="31"/>
      <c r="AB11" s="31"/>
      <c r="AC11" s="32"/>
      <c r="AD11" s="28"/>
      <c r="AE11" s="31"/>
      <c r="AF11" s="31"/>
      <c r="AG11" s="32"/>
      <c r="AH11" s="28">
        <v>0</v>
      </c>
      <c r="AI11" s="146">
        <v>22</v>
      </c>
      <c r="AJ11" s="147">
        <v>28</v>
      </c>
      <c r="AK11" s="145">
        <v>62</v>
      </c>
      <c r="AL11" s="31">
        <v>1</v>
      </c>
      <c r="AM11" s="31">
        <v>22</v>
      </c>
      <c r="AN11" s="31"/>
      <c r="AO11" s="31">
        <v>63</v>
      </c>
      <c r="AP11" s="31"/>
      <c r="AQ11" s="31">
        <f t="shared" si="0"/>
        <v>3510</v>
      </c>
      <c r="AR11" s="31"/>
      <c r="AS11" s="31"/>
      <c r="AT11" s="97" t="str" cm="1">
        <f t="array" aca="1" ref="AT11"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1" s="97" t="str" cm="1">
        <f t="array" aca="1" ref="AU11"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1" s="97" t="str" cm="1">
        <f t="array" aca="1" ref="AV11"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1" s="97" t="str" cm="1">
        <f t="array" aca="1" ref="AW11"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1" s="97" t="str" cm="1">
        <f t="array" aca="1" ref="AX11"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11" s="97" cm="1">
        <f t="array" aca="1" ref="AY11"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112</v>
      </c>
      <c r="AZ11" s="97" cm="1">
        <f t="array" aca="1" ref="AZ11"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198</v>
      </c>
      <c r="BA11" s="97" cm="1">
        <f t="array" aca="1" ref="BA11"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3708</v>
      </c>
      <c r="BB11" s="28"/>
      <c r="BC11" s="31"/>
      <c r="BD11" s="31"/>
      <c r="BE11" s="31"/>
      <c r="BF11" s="16"/>
      <c r="BG11" s="17">
        <v>80</v>
      </c>
      <c r="BH11" s="176">
        <v>80</v>
      </c>
      <c r="BI11" s="176">
        <v>80</v>
      </c>
      <c r="BJ11" s="170">
        <v>800</v>
      </c>
      <c r="BK11" s="101" t="str" cm="1">
        <f t="array" aca="1" ref="BK11"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1" s="102" t="s" cm="1">
        <v>195</v>
      </c>
      <c r="BM11" s="102" t="s" cm="1">
        <v>195</v>
      </c>
      <c r="BN11" s="102" t="s" cm="1">
        <v>195</v>
      </c>
      <c r="BO11" s="102" t="s" cm="1">
        <v>195</v>
      </c>
      <c r="BP11" s="103" cm="1">
        <v>80</v>
      </c>
      <c r="BQ11" s="112" cm="1">
        <v>160</v>
      </c>
      <c r="BR11" s="112" cm="1">
        <v>200</v>
      </c>
      <c r="BS11" s="9" t="str" cm="1">
        <f t="array" aca="1" ref="BS11"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1" s="10" t="str" cm="1">
        <f t="array" aca="1" ref="BT11"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1" s="10" t="str" cm="1">
        <f t="array" aca="1" ref="BU11"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1" s="10" t="str" cm="1">
        <f t="array" aca="1" ref="BV11"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1" s="10" t="str" cm="1">
        <f t="array" aca="1" ref="BW11"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11" s="10" cm="1">
        <f t="array" aca="1" ref="BX11"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1.4</v>
      </c>
      <c r="BY11" s="10" cm="1">
        <f t="array" aca="1" ref="BY11"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1.075</v>
      </c>
      <c r="BZ11" s="10" cm="1">
        <f t="array" aca="1" ref="BZ11"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87.75</v>
      </c>
      <c r="CA11" s="106" t="str" cm="1">
        <f t="array" aca="1" ref="CA11"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1" s="107" t="str" cm="1">
        <f t="array" aca="1" ref="CB11"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1" s="107" t="str" cm="1">
        <f t="array" aca="1" ref="CC11"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1" s="107" t="str" cm="1">
        <f t="array" aca="1" ref="CD11"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1" s="107" t="str" cm="1">
        <f t="array" aca="1" ref="CE11"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11" s="107" cm="1">
        <f t="array" aca="1" ref="CF11"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1.4</v>
      </c>
      <c r="CG11" s="123" cm="1">
        <f t="array" aca="1" ref="CG11"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1.2375</v>
      </c>
      <c r="CH11" s="123" cm="1">
        <f t="array" aca="1" ref="CH11"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18.54</v>
      </c>
      <c r="CI11" s="21" t="str" cm="1">
        <f t="array" aca="1" ref="CI11"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1" s="54" t="str" cm="1">
        <f t="array" aca="1" ref="CJ11"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1" s="54" t="str" cm="1">
        <f t="array" aca="1" ref="CK11"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1" s="54" t="str" cm="1">
        <f t="array" aca="1" ref="CL11"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1" s="54" t="str" cm="1">
        <f t="array" aca="1" ref="CM11"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11" s="54" cm="1">
        <f t="array" aca="1" ref="CN11"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0.14000000000000001</v>
      </c>
      <c r="CO11" s="115" cm="1">
        <f t="array" aca="1" ref="CO11"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0.2475</v>
      </c>
      <c r="CP11" s="55" cm="1">
        <f t="array" aca="1" ref="CP11"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4.6349999999999998</v>
      </c>
    </row>
    <row r="12" spans="1:94" ht="72" hidden="1" x14ac:dyDescent="0.3">
      <c r="A12" s="2">
        <v>7</v>
      </c>
      <c r="B12" t="str">
        <f>+LEFT(Info_Productos_Cuantitativo[[#This Row],[Producto esperado]],2)</f>
        <v>1.</v>
      </c>
      <c r="C12" s="127" t="s">
        <v>206</v>
      </c>
      <c r="D12" s="127" t="s">
        <v>207</v>
      </c>
      <c r="E12" s="128" t="s">
        <v>57</v>
      </c>
      <c r="F12" s="129">
        <v>0.01</v>
      </c>
      <c r="G12" s="130">
        <v>1200</v>
      </c>
      <c r="H12" s="130" t="s">
        <v>25</v>
      </c>
      <c r="I12" s="130" t="s">
        <v>21</v>
      </c>
      <c r="J12" s="133">
        <v>44927</v>
      </c>
      <c r="K12" s="134">
        <v>48579</v>
      </c>
      <c r="L12" s="94" t="str" cm="1">
        <f t="array" ref="L12">+_xlfn.CONCAT("Q",LEFT(LOOKUP(2,1/(Cuantitativo_Productos[[#This Row],[1er Trimestre 2018]:[4o Trimestre 2025]]&lt;&gt;""),Cuantitativo_Productos[[#Headers],[1er Trimestre 2018]:[4o Trimestre 2025]]),1))</f>
        <v>Q2</v>
      </c>
      <c r="M12" s="108" t="str" cm="1">
        <f t="array" ref="M12">+RIGHT(LOOKUP(2,1/(Cuantitativo_Productos[[#This Row],[1er Trimestre 2018]:[4o Trimestre 2025]]&lt;&gt;""),Cuantitativo_Productos[[#Headers],[1er Trimestre 2018]:[4o Trimestre 2025]]),4)</f>
        <v>2025</v>
      </c>
      <c r="N12" s="28"/>
      <c r="O12" s="31"/>
      <c r="P12" s="31"/>
      <c r="Q12" s="36"/>
      <c r="R12" s="37"/>
      <c r="S12" s="38"/>
      <c r="T12" s="38"/>
      <c r="U12" s="36"/>
      <c r="V12" s="37"/>
      <c r="W12" s="38"/>
      <c r="X12" s="38"/>
      <c r="Y12" s="36"/>
      <c r="Z12" s="37"/>
      <c r="AA12" s="38"/>
      <c r="AB12" s="38"/>
      <c r="AC12" s="36"/>
      <c r="AD12" s="37"/>
      <c r="AE12" s="38"/>
      <c r="AF12" s="38"/>
      <c r="AG12" s="148">
        <v>1500</v>
      </c>
      <c r="AH12" s="181">
        <v>239</v>
      </c>
      <c r="AI12" s="150">
        <v>437</v>
      </c>
      <c r="AJ12" s="151">
        <v>413</v>
      </c>
      <c r="AK12" s="148">
        <v>203</v>
      </c>
      <c r="AL12" s="116">
        <v>76</v>
      </c>
      <c r="AM12" s="116">
        <v>198</v>
      </c>
      <c r="AN12" s="39"/>
      <c r="AO12" s="116">
        <v>1437</v>
      </c>
      <c r="AP12" s="39"/>
      <c r="AQ12" s="39">
        <f t="shared" si="0"/>
        <v>3510</v>
      </c>
      <c r="AR12" s="39"/>
      <c r="AS12" s="39"/>
      <c r="AT12" s="95" t="str" cm="1">
        <f t="array" aca="1" ref="AT12"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2" s="95" t="str" cm="1">
        <f t="array" aca="1" ref="AU12"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2" s="95" t="str" cm="1">
        <f t="array" aca="1" ref="AV12"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2" s="95" t="str" cm="1">
        <f t="array" aca="1" ref="AW12"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2" s="95" cm="1">
        <f t="array" aca="1" ref="AX12"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1500</v>
      </c>
      <c r="AY12" s="95" cm="1">
        <f t="array" aca="1" ref="AY12"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2792</v>
      </c>
      <c r="AZ12" s="95" cm="1">
        <f t="array" aca="1" ref="AZ12"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4503</v>
      </c>
      <c r="BA12" s="95" cm="1">
        <f t="array" aca="1" ref="BA12"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8013</v>
      </c>
      <c r="BB12" s="118"/>
      <c r="BC12" s="117"/>
      <c r="BD12" s="117"/>
      <c r="BE12" s="117"/>
      <c r="BF12" s="155">
        <v>1500</v>
      </c>
      <c r="BG12" s="148">
        <v>1500</v>
      </c>
      <c r="BH12" s="176">
        <v>1500</v>
      </c>
      <c r="BI12" s="176">
        <v>1500</v>
      </c>
      <c r="BJ12" s="170">
        <v>16500</v>
      </c>
      <c r="BK12" s="95" t="str" cm="1">
        <f t="array" aca="1" ref="BK12"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2" s="100" t="s" cm="1">
        <v>195</v>
      </c>
      <c r="BM12" s="100" t="s" cm="1">
        <v>195</v>
      </c>
      <c r="BN12" s="100" t="s" cm="1">
        <v>195</v>
      </c>
      <c r="BO12" s="100" cm="1">
        <v>1500</v>
      </c>
      <c r="BP12" s="96" cm="1">
        <v>3000</v>
      </c>
      <c r="BQ12" s="112" cm="1">
        <v>4500</v>
      </c>
      <c r="BR12" s="112" cm="1">
        <v>5250</v>
      </c>
      <c r="BS12" s="9" t="str" cm="1">
        <f t="array" aca="1" ref="BS12"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2" s="10" t="str" cm="1">
        <f t="array" aca="1" ref="BT12"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2" s="10" t="str" cm="1">
        <f t="array" aca="1" ref="BU12"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2" s="10" t="str" cm="1">
        <f t="array" aca="1" ref="BV12"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2" s="10" cm="1">
        <f t="array" aca="1" ref="BW12"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12" s="10" cm="1">
        <f t="array" aca="1" ref="BX12"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0.86133333333333328</v>
      </c>
      <c r="BY12" s="10" cm="1">
        <f t="array" aca="1" ref="BY12"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1.1406666666666667</v>
      </c>
      <c r="BZ12" s="10" cm="1">
        <f t="array" aca="1" ref="BZ12"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4.68</v>
      </c>
      <c r="CA12" s="106" t="str" cm="1">
        <f t="array" aca="1" ref="CA12"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2" s="107" t="str" cm="1">
        <f t="array" aca="1" ref="CB12"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2" s="107" t="str" cm="1">
        <f t="array" aca="1" ref="CC12"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2" s="107" t="str" cm="1">
        <f t="array" aca="1" ref="CD12"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2" s="107" cm="1">
        <f t="array" aca="1" ref="CE12"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12" s="107" cm="1">
        <f t="array" aca="1" ref="CF12"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0.93066666666666664</v>
      </c>
      <c r="CG12" s="123" cm="1">
        <f t="array" aca="1" ref="CG12"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1.0006666666666666</v>
      </c>
      <c r="CH12" s="123" cm="1">
        <f t="array" aca="1" ref="CH12"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1.5262857142857142</v>
      </c>
      <c r="CI12" s="21" t="str" cm="1">
        <f t="array" aca="1" ref="CI12"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2" s="54" t="str" cm="1">
        <f t="array" aca="1" ref="CJ12"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2" s="54" t="str" cm="1">
        <f t="array" aca="1" ref="CK12"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2" s="54" t="str" cm="1">
        <f t="array" aca="1" ref="CL12"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2" s="54" cm="1">
        <f t="array" aca="1" ref="CM12"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9.0909090909090912E-2</v>
      </c>
      <c r="CN12" s="54" cm="1">
        <f t="array" aca="1" ref="CN12"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0.1692121212121212</v>
      </c>
      <c r="CO12" s="115" cm="1">
        <f t="array" aca="1" ref="CO12"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0.27290909090909093</v>
      </c>
      <c r="CP12" s="55" cm="1">
        <f t="array" aca="1" ref="CP12"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0.48563636363636364</v>
      </c>
    </row>
    <row r="13" spans="1:94" ht="72" x14ac:dyDescent="0.3">
      <c r="A13" s="2">
        <v>8</v>
      </c>
      <c r="B13" t="str">
        <f>+LEFT(Info_Productos_Cuantitativo[[#This Row],[Producto esperado]],2)</f>
        <v>1.</v>
      </c>
      <c r="C13" s="127" t="s">
        <v>208</v>
      </c>
      <c r="D13" s="127" t="s">
        <v>209</v>
      </c>
      <c r="E13" s="128" t="s">
        <v>43</v>
      </c>
      <c r="F13" s="129">
        <v>0.01</v>
      </c>
      <c r="G13" s="135">
        <v>1071</v>
      </c>
      <c r="H13" s="130" t="s">
        <v>10</v>
      </c>
      <c r="I13" s="130" t="s">
        <v>26</v>
      </c>
      <c r="J13" s="133">
        <v>44835</v>
      </c>
      <c r="K13" s="134">
        <v>46387</v>
      </c>
      <c r="L13" s="94" t="str" cm="1">
        <f t="array" ref="L13">+_xlfn.CONCAT("Q",LEFT(LOOKUP(2,1/(Cuantitativo_Productos[[#This Row],[1er Trimestre 2018]:[4o Trimestre 2025]]&lt;&gt;""),Cuantitativo_Productos[[#Headers],[1er Trimestre 2018]:[4o Trimestre 2025]]),1))</f>
        <v>Q3</v>
      </c>
      <c r="M13" s="108" t="str" cm="1">
        <f t="array" ref="M13">+RIGHT(LOOKUP(2,1/(Cuantitativo_Productos[[#This Row],[1er Trimestre 2018]:[4o Trimestre 2025]]&lt;&gt;""),Cuantitativo_Productos[[#Headers],[1er Trimestre 2018]:[4o Trimestre 2025]]),4)</f>
        <v>2025</v>
      </c>
      <c r="N13" s="28"/>
      <c r="O13" s="31"/>
      <c r="P13" s="31"/>
      <c r="Q13" s="32"/>
      <c r="R13" s="28"/>
      <c r="S13" s="31"/>
      <c r="T13" s="31"/>
      <c r="U13" s="32"/>
      <c r="V13" s="28"/>
      <c r="W13" s="31"/>
      <c r="X13" s="31"/>
      <c r="Y13" s="32"/>
      <c r="Z13" s="28"/>
      <c r="AA13" s="31"/>
      <c r="AB13" s="31"/>
      <c r="AC13" s="32"/>
      <c r="AD13" s="28"/>
      <c r="AE13" s="31"/>
      <c r="AF13" s="31"/>
      <c r="AG13" s="152">
        <v>796</v>
      </c>
      <c r="AH13" s="153"/>
      <c r="AI13" s="154">
        <v>1050</v>
      </c>
      <c r="AJ13" s="31"/>
      <c r="AK13" s="152">
        <v>1914</v>
      </c>
      <c r="AL13" s="31"/>
      <c r="AM13" s="159">
        <v>1472</v>
      </c>
      <c r="AN13" s="31"/>
      <c r="AO13" s="16">
        <v>2553</v>
      </c>
      <c r="AP13" s="31">
        <v>904</v>
      </c>
      <c r="AQ13" s="16">
        <v>578</v>
      </c>
      <c r="AR13" s="147">
        <v>1231</v>
      </c>
      <c r="AS13" s="31"/>
      <c r="AT13" s="97" t="str" cm="1">
        <f t="array" aca="1" ref="AT13"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3" s="97" t="str" cm="1">
        <f t="array" aca="1" ref="AU13"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3" s="97" t="str" cm="1">
        <f t="array" aca="1" ref="AV13"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3" s="97" t="str" cm="1">
        <f t="array" aca="1" ref="AW13"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3" s="162">
        <v>796</v>
      </c>
      <c r="AY13" s="165">
        <v>1914</v>
      </c>
      <c r="AZ13" s="186">
        <v>2553</v>
      </c>
      <c r="BA13" s="97" t="str" cm="1">
        <f t="array" aca="1" ref="BA13"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ERROR, el valor reportado es inferior a la Línea Base</v>
      </c>
      <c r="BB13" s="28"/>
      <c r="BC13" s="31"/>
      <c r="BD13" s="31"/>
      <c r="BE13" s="31"/>
      <c r="BF13" s="16">
        <v>1178</v>
      </c>
      <c r="BG13" s="17">
        <v>1279</v>
      </c>
      <c r="BH13" s="176">
        <v>1380</v>
      </c>
      <c r="BI13" s="176">
        <v>1481</v>
      </c>
      <c r="BJ13" s="170">
        <v>1582</v>
      </c>
      <c r="BK13" s="101" t="str" cm="1">
        <f t="array" aca="1" ref="BK13"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3" s="102" t="s" cm="1">
        <v>195</v>
      </c>
      <c r="BM13" s="102" t="s" cm="1">
        <v>195</v>
      </c>
      <c r="BN13" s="102" t="s" cm="1">
        <v>195</v>
      </c>
      <c r="BO13" s="102" cm="1">
        <v>1178</v>
      </c>
      <c r="BP13" s="103" cm="1">
        <v>1279</v>
      </c>
      <c r="BQ13" s="112" cm="1">
        <v>1380</v>
      </c>
      <c r="BR13" s="112" cm="1">
        <v>1430.5</v>
      </c>
      <c r="BS13" s="9" t="str" cm="1">
        <f t="array" aca="1" ref="BS13"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3" s="10" t="str" cm="1">
        <f t="array" aca="1" ref="BT13"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3" s="10" t="str" cm="1">
        <f t="array" aca="1" ref="BU13"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3" s="10" t="str" cm="1">
        <f t="array" aca="1" ref="BV13"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3" s="10" cm="1">
        <f t="array" ref="BW13">+IF(OR(Metas_Productos[[#This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-2.5700934579439254</v>
      </c>
      <c r="BX13" s="10" cm="1">
        <f t="array" ref="BX13">+IF(OR(Metas_Productos[[#This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4.052884615384615</v>
      </c>
      <c r="BY13" s="10" cm="1">
        <f t="array" ref="BY13">+IF(OR(Metas_Productos[[#This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4.7961165048543686</v>
      </c>
      <c r="BZ13" s="10" t="e" cm="1">
        <f t="array" aca="1" ref="BZ13"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#VALUE!</v>
      </c>
      <c r="CA13" s="106" t="str" cm="1">
        <f t="array" aca="1" ref="CA13"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3" s="107" t="str" cm="1">
        <f t="array" aca="1" ref="CB13"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3" s="107" t="str" cm="1">
        <f t="array" aca="1" ref="CC13"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3" s="107" t="str" cm="1">
        <f t="array" aca="1" ref="CD13"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3" s="107" cm="1">
        <f t="array" ref="CE13">+IF(OR(Cuantitativo_Productos[[#This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-2.5700934579439254</v>
      </c>
      <c r="CF13" s="107" cm="1">
        <f t="array" ref="CF13">+IF(OR(Cuantitativo_Productos[[#This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4.052884615384615</v>
      </c>
      <c r="CG13" s="123" cm="1">
        <f t="array" ref="CG13">+IF(OR(Cuantitativo_Productos[[#This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4.7961165048543686</v>
      </c>
      <c r="CH13" s="123" t="e" cm="1">
        <f t="array" aca="1" ref="CH13"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#VALUE!</v>
      </c>
      <c r="CI13" s="21" t="str" cm="1">
        <f t="array" aca="1" ref="CI13"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3" s="54" t="str" cm="1">
        <f t="array" aca="1" ref="CJ13"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3" s="54" t="str" cm="1">
        <f t="array" aca="1" ref="CK13"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3" s="54" t="str" cm="1">
        <f t="array" aca="1" ref="CL13"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3" s="54" cm="1">
        <f t="array" ref="CM13">+IF(OR(Metas_Productos[[#This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-0.53816046966731901</v>
      </c>
      <c r="CN13" s="54" cm="1">
        <f t="array" ref="CN13">+IF(OR(Metas_Productos[[#This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1.649706457925636</v>
      </c>
      <c r="CO13" s="115" cm="1">
        <f t="array" ref="CO13">+IF(OR(Metas_Productos[[#This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2.9001956947162428</v>
      </c>
      <c r="CP13" s="55" t="e" cm="1">
        <f t="array" aca="1" ref="CP13"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#VALUE!</v>
      </c>
    </row>
    <row r="14" spans="1:94" ht="28.8" hidden="1" x14ac:dyDescent="0.3">
      <c r="A14" s="2">
        <v>9</v>
      </c>
      <c r="B14" t="str">
        <f>+LEFT(Info_Productos_Cuantitativo[[#This Row],[Producto esperado]],2)</f>
        <v>1.</v>
      </c>
      <c r="C14" s="127" t="s">
        <v>210</v>
      </c>
      <c r="D14" s="127" t="s">
        <v>211</v>
      </c>
      <c r="E14" s="128" t="s">
        <v>8</v>
      </c>
      <c r="F14" s="129">
        <v>0.02</v>
      </c>
      <c r="G14" s="130"/>
      <c r="H14" s="130" t="s">
        <v>25</v>
      </c>
      <c r="I14" s="130" t="s">
        <v>11</v>
      </c>
      <c r="J14" s="133">
        <v>44734</v>
      </c>
      <c r="K14" s="134">
        <v>48395</v>
      </c>
      <c r="L14" s="94" t="str" cm="1">
        <f t="array" ref="L14">+_xlfn.CONCAT("Q",LEFT(LOOKUP(2,1/(Cuantitativo_Productos[[#This Row],[1er Trimestre 2018]:[4o Trimestre 2025]]&lt;&gt;""),Cuantitativo_Productos[[#Headers],[1er Trimestre 2018]:[4o Trimestre 2025]]),1))</f>
        <v>Q2</v>
      </c>
      <c r="M14" s="108" t="str" cm="1">
        <f t="array" ref="M14">+RIGHT(LOOKUP(2,1/(Cuantitativo_Productos[[#This Row],[1er Trimestre 2018]:[4o Trimestre 2025]]&lt;&gt;""),Cuantitativo_Productos[[#Headers],[1er Trimestre 2018]:[4o Trimestre 2025]]),4)</f>
        <v>2025</v>
      </c>
      <c r="N14" s="28"/>
      <c r="O14" s="31"/>
      <c r="P14" s="31"/>
      <c r="Q14" s="33"/>
      <c r="R14" s="34"/>
      <c r="S14" s="35"/>
      <c r="T14" s="35"/>
      <c r="U14" s="33"/>
      <c r="V14" s="34"/>
      <c r="W14" s="35"/>
      <c r="X14" s="35"/>
      <c r="Y14" s="33"/>
      <c r="Z14" s="34"/>
      <c r="AA14" s="35"/>
      <c r="AB14" s="35"/>
      <c r="AC14" s="33"/>
      <c r="AD14" s="34"/>
      <c r="AE14" s="35"/>
      <c r="AF14" s="35"/>
      <c r="AG14" s="148">
        <v>7837</v>
      </c>
      <c r="AH14" s="182">
        <v>1311</v>
      </c>
      <c r="AI14" s="183">
        <v>2499</v>
      </c>
      <c r="AJ14" s="155">
        <v>1293</v>
      </c>
      <c r="AK14" s="145">
        <v>1928</v>
      </c>
      <c r="AL14" s="116">
        <v>0</v>
      </c>
      <c r="AM14" s="116">
        <v>586</v>
      </c>
      <c r="AN14" s="111"/>
      <c r="AO14" s="116">
        <v>384</v>
      </c>
      <c r="AP14" s="111"/>
      <c r="AQ14" s="190">
        <f t="shared" si="0"/>
        <v>3510</v>
      </c>
      <c r="AR14" s="111"/>
      <c r="AS14" s="111"/>
      <c r="AT14" s="98" t="str" cm="1">
        <f t="array" aca="1" ref="AT14"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4" s="98" t="str" cm="1">
        <f t="array" aca="1" ref="AU14"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4" s="98" t="str" cm="1">
        <f t="array" aca="1" ref="AV14"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4" s="98" t="str" cm="1">
        <f t="array" aca="1" ref="AW14"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4" s="97" cm="1">
        <f t="array" aca="1" ref="AX14"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7837</v>
      </c>
      <c r="AY14" s="97" cm="1">
        <f t="array" aca="1" ref="AY14"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14868</v>
      </c>
      <c r="AZ14" s="97" cm="1">
        <f t="array" aca="1" ref="AZ14"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15838</v>
      </c>
      <c r="BA14" s="97" cm="1">
        <f t="array" aca="1" ref="BA14"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19348</v>
      </c>
      <c r="BB14" s="118"/>
      <c r="BC14" s="117"/>
      <c r="BD14" s="117"/>
      <c r="BE14" s="117"/>
      <c r="BF14" s="155">
        <v>7000</v>
      </c>
      <c r="BG14" s="148">
        <v>7000</v>
      </c>
      <c r="BH14" s="176">
        <v>964</v>
      </c>
      <c r="BI14" s="176">
        <v>964</v>
      </c>
      <c r="BJ14" s="170">
        <v>22676</v>
      </c>
      <c r="BK14" s="98" t="str" cm="1">
        <f t="array" aca="1" ref="BK14"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4" s="104" t="s" cm="1">
        <v>195</v>
      </c>
      <c r="BM14" s="104" t="s" cm="1">
        <v>195</v>
      </c>
      <c r="BN14" s="104" t="s" cm="1">
        <v>195</v>
      </c>
      <c r="BO14" s="104" cm="1">
        <v>7000</v>
      </c>
      <c r="BP14" s="99" cm="1">
        <v>14000</v>
      </c>
      <c r="BQ14" s="112" cm="1">
        <v>14964</v>
      </c>
      <c r="BR14" s="112" cm="1">
        <v>15446</v>
      </c>
      <c r="BS14" s="9" t="str" cm="1">
        <f t="array" aca="1" ref="BS14"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4" s="10" t="str" cm="1">
        <f t="array" aca="1" ref="BT14"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4" s="10" t="str" cm="1">
        <f t="array" aca="1" ref="BU14"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4" s="10" t="str" cm="1">
        <f t="array" aca="1" ref="BV14"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4" s="10" cm="1">
        <f t="array" aca="1" ref="BW14"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1.1195714285714287</v>
      </c>
      <c r="BX14" s="10" cm="1">
        <f t="array" aca="1" ref="BX14"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1.0044285714285714</v>
      </c>
      <c r="BY14" s="10" cm="1">
        <f t="array" aca="1" ref="BY14"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1.0062240663900415</v>
      </c>
      <c r="BZ14" s="10" cm="1">
        <f t="array" aca="1" ref="BZ14"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7.2821576763485476</v>
      </c>
      <c r="CA14" s="106" t="str" cm="1">
        <f t="array" aca="1" ref="CA14"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4" s="107" t="str" cm="1">
        <f t="array" aca="1" ref="CB14"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4" s="107" t="str" cm="1">
        <f t="array" aca="1" ref="CC14"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4" s="107" t="str" cm="1">
        <f t="array" aca="1" ref="CD14"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4" s="107" cm="1">
        <f t="array" aca="1" ref="CE14"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1.1195714285714287</v>
      </c>
      <c r="CF14" s="107" cm="1">
        <f t="array" aca="1" ref="CF14"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1.0620000000000001</v>
      </c>
      <c r="CG14" s="123" cm="1">
        <f t="array" aca="1" ref="CG14"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1.0584068430900828</v>
      </c>
      <c r="CH14" s="123" cm="1">
        <f t="array" aca="1" ref="CH14"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1.2526220380681083</v>
      </c>
      <c r="CI14" s="21" t="str" cm="1">
        <f t="array" aca="1" ref="CI14"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4" s="54" t="str" cm="1">
        <f t="array" aca="1" ref="CJ14"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4" s="54" t="str" cm="1">
        <f t="array" aca="1" ref="CK14"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4" s="54" t="str" cm="1">
        <f t="array" aca="1" ref="CL14"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4" s="54" cm="1">
        <f t="array" aca="1" ref="CM14"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0.34560769095078497</v>
      </c>
      <c r="CN14" s="54" cm="1">
        <f t="array" aca="1" ref="CN14"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0.6556711942141471</v>
      </c>
      <c r="CO14" s="115" cm="1">
        <f t="array" aca="1" ref="CO14"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0.69844769800670314</v>
      </c>
      <c r="CP14" s="55" cm="1">
        <f t="array" aca="1" ref="CP14"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0.85323690245193151</v>
      </c>
    </row>
    <row r="15" spans="1:94" ht="43.2" hidden="1" x14ac:dyDescent="0.3">
      <c r="A15" s="2">
        <v>10</v>
      </c>
      <c r="B15" t="str">
        <f>+LEFT(Info_Productos_Cuantitativo[[#This Row],[Producto esperado]],2)</f>
        <v>1.</v>
      </c>
      <c r="C15" s="127" t="s">
        <v>212</v>
      </c>
      <c r="D15" s="127" t="s">
        <v>213</v>
      </c>
      <c r="E15" s="128" t="s">
        <v>8</v>
      </c>
      <c r="F15" s="129">
        <v>0.02</v>
      </c>
      <c r="G15" s="130"/>
      <c r="H15" s="130" t="s">
        <v>25</v>
      </c>
      <c r="I15" s="130" t="s">
        <v>26</v>
      </c>
      <c r="J15" s="133">
        <v>44734</v>
      </c>
      <c r="K15" s="134">
        <v>48395</v>
      </c>
      <c r="L15" s="94" t="str" cm="1">
        <f t="array" ref="L15">+_xlfn.CONCAT("Q",LEFT(LOOKUP(2,1/(Cuantitativo_Productos[[#This Row],[1er Trimestre 2018]:[4o Trimestre 2025]]&lt;&gt;""),Cuantitativo_Productos[[#Headers],[1er Trimestre 2018]:[4o Trimestre 2025]]),1))</f>
        <v>Q2</v>
      </c>
      <c r="M15" s="108" t="str" cm="1">
        <f t="array" ref="M15">+RIGHT(LOOKUP(2,1/(Cuantitativo_Productos[[#This Row],[1er Trimestre 2018]:[4o Trimestre 2025]]&lt;&gt;""),Cuantitativo_Productos[[#Headers],[1er Trimestre 2018]:[4o Trimestre 2025]]),4)</f>
        <v>2025</v>
      </c>
      <c r="N15" s="28"/>
      <c r="O15" s="31"/>
      <c r="P15" s="31"/>
      <c r="Q15" s="32"/>
      <c r="R15" s="28"/>
      <c r="S15" s="31"/>
      <c r="T15" s="31"/>
      <c r="U15" s="32"/>
      <c r="V15" s="28"/>
      <c r="W15" s="31"/>
      <c r="X15" s="31"/>
      <c r="Y15" s="32"/>
      <c r="Z15" s="28"/>
      <c r="AA15" s="31"/>
      <c r="AB15" s="31"/>
      <c r="AC15" s="32"/>
      <c r="AD15" s="28"/>
      <c r="AE15" s="31"/>
      <c r="AF15" s="31"/>
      <c r="AG15" s="145">
        <v>50</v>
      </c>
      <c r="AH15" s="28"/>
      <c r="AI15" s="143">
        <v>0</v>
      </c>
      <c r="AJ15" s="31"/>
      <c r="AK15" s="145">
        <v>59</v>
      </c>
      <c r="AL15" s="31"/>
      <c r="AM15" s="31">
        <v>0</v>
      </c>
      <c r="AN15" s="31"/>
      <c r="AO15" s="31">
        <v>50</v>
      </c>
      <c r="AP15" s="31"/>
      <c r="AQ15" s="31">
        <f t="shared" si="0"/>
        <v>3510</v>
      </c>
      <c r="AR15" s="31"/>
      <c r="AS15" s="31"/>
      <c r="AT15" s="97" t="str" cm="1">
        <f t="array" aca="1" ref="AT15"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5" s="97" t="str" cm="1">
        <f t="array" aca="1" ref="AU15"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5" s="97" t="str" cm="1">
        <f t="array" aca="1" ref="AV15"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5" s="97" t="str" cm="1">
        <f t="array" aca="1" ref="AW15"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5" s="97" cm="1">
        <f t="array" aca="1" ref="AX15"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50</v>
      </c>
      <c r="AY15" s="97" cm="1">
        <f t="array" aca="1" ref="AY15"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109</v>
      </c>
      <c r="AZ15" s="97" cm="1">
        <f t="array" aca="1" ref="AZ15"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159</v>
      </c>
      <c r="BA15" s="97" cm="1">
        <f t="array" aca="1" ref="BA15"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3669</v>
      </c>
      <c r="BB15" s="28"/>
      <c r="BC15" s="31"/>
      <c r="BD15" s="31"/>
      <c r="BE15" s="31"/>
      <c r="BF15" s="16">
        <v>50</v>
      </c>
      <c r="BG15" s="17">
        <v>50</v>
      </c>
      <c r="BH15" s="176">
        <v>50</v>
      </c>
      <c r="BI15" s="176">
        <v>50</v>
      </c>
      <c r="BJ15" s="170">
        <v>550</v>
      </c>
      <c r="BK15" s="101" t="str" cm="1">
        <f t="array" aca="1" ref="BK15"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5" s="102" t="s" cm="1">
        <v>195</v>
      </c>
      <c r="BM15" s="102" t="s" cm="1">
        <v>195</v>
      </c>
      <c r="BN15" s="102" t="s" cm="1">
        <v>195</v>
      </c>
      <c r="BO15" s="102" cm="1">
        <v>50</v>
      </c>
      <c r="BP15" s="103" cm="1">
        <v>100</v>
      </c>
      <c r="BQ15" s="112" cm="1">
        <v>150</v>
      </c>
      <c r="BR15" s="112" cm="1">
        <v>175</v>
      </c>
      <c r="BS15" s="9" t="str" cm="1">
        <f t="array" aca="1" ref="BS15"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5" s="10" t="str" cm="1">
        <f t="array" aca="1" ref="BT15"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5" s="10" t="str" cm="1">
        <f t="array" aca="1" ref="BU15"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5" s="10" t="str" cm="1">
        <f t="array" aca="1" ref="BV15"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5" s="10" cm="1">
        <f t="array" aca="1" ref="BW15"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15" s="10" cm="1">
        <f t="array" aca="1" ref="BX15"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1.18</v>
      </c>
      <c r="BY15" s="10" cm="1">
        <f t="array" aca="1" ref="BY15"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15" s="10" cm="1">
        <f t="array" aca="1" ref="BZ15"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140.4</v>
      </c>
      <c r="CA15" s="106" t="str" cm="1">
        <f t="array" aca="1" ref="CA15"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5" s="107" t="str" cm="1">
        <f t="array" aca="1" ref="CB15"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5" s="107" t="str" cm="1">
        <f t="array" aca="1" ref="CC15"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5" s="107" t="str" cm="1">
        <f t="array" aca="1" ref="CD15"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5" s="107" cm="1">
        <f t="array" aca="1" ref="CE15"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15" s="107" cm="1">
        <f t="array" aca="1" ref="CF15"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1.0900000000000001</v>
      </c>
      <c r="CG15" s="123" cm="1">
        <f t="array" aca="1" ref="CG15"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1.06</v>
      </c>
      <c r="CH15" s="123" cm="1">
        <f t="array" aca="1" ref="CH15"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20.965714285714284</v>
      </c>
      <c r="CI15" s="21" t="str" cm="1">
        <f t="array" aca="1" ref="CI15"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5" s="54" t="str" cm="1">
        <f t="array" aca="1" ref="CJ15"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5" s="54" t="str" cm="1">
        <f t="array" aca="1" ref="CK15"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5" s="54" t="str" cm="1">
        <f t="array" aca="1" ref="CL15"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5" s="54" cm="1">
        <f t="array" aca="1" ref="CM15"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9.0909090909090912E-2</v>
      </c>
      <c r="CN15" s="54" cm="1">
        <f t="array" aca="1" ref="CN15"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0.19818181818181818</v>
      </c>
      <c r="CO15" s="115" cm="1">
        <f t="array" aca="1" ref="CO15"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0.28909090909090907</v>
      </c>
      <c r="CP15" s="55" cm="1">
        <f t="array" aca="1" ref="CP15"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6.6709090909090909</v>
      </c>
    </row>
    <row r="16" spans="1:94" ht="72" hidden="1" x14ac:dyDescent="0.3">
      <c r="A16" s="2">
        <v>11</v>
      </c>
      <c r="B16" t="str">
        <f>+LEFT(Info_Productos_Cuantitativo[[#This Row],[Producto esperado]],2)</f>
        <v>1.</v>
      </c>
      <c r="C16" s="127" t="s">
        <v>214</v>
      </c>
      <c r="D16" s="127" t="s">
        <v>215</v>
      </c>
      <c r="E16" s="128" t="s">
        <v>13</v>
      </c>
      <c r="F16" s="129">
        <v>0.02</v>
      </c>
      <c r="G16" s="130"/>
      <c r="H16" s="130" t="s">
        <v>25</v>
      </c>
      <c r="I16" s="130" t="s">
        <v>26</v>
      </c>
      <c r="J16" s="133">
        <v>44562</v>
      </c>
      <c r="K16" s="134">
        <v>413821</v>
      </c>
      <c r="L16" s="94" t="str" cm="1">
        <f t="array" ref="L16">+_xlfn.CONCAT("Q",LEFT(LOOKUP(2,1/(Cuantitativo_Productos[[#This Row],[1er Trimestre 2018]:[4o Trimestre 2025]]&lt;&gt;""),Cuantitativo_Productos[[#Headers],[1er Trimestre 2018]:[4o Trimestre 2025]]),1))</f>
        <v>Q2</v>
      </c>
      <c r="M16" s="108" t="str" cm="1">
        <f t="array" ref="M16">+RIGHT(LOOKUP(2,1/(Cuantitativo_Productos[[#This Row],[1er Trimestre 2018]:[4o Trimestre 2025]]&lt;&gt;""),Cuantitativo_Productos[[#Headers],[1er Trimestre 2018]:[4o Trimestre 2025]]),4)</f>
        <v>2025</v>
      </c>
      <c r="N16" s="28"/>
      <c r="O16" s="31"/>
      <c r="P16" s="31"/>
      <c r="Q16" s="32"/>
      <c r="R16" s="28"/>
      <c r="S16" s="31"/>
      <c r="T16" s="31"/>
      <c r="U16" s="32"/>
      <c r="V16" s="28"/>
      <c r="W16" s="31"/>
      <c r="X16" s="31"/>
      <c r="Y16" s="32"/>
      <c r="Z16" s="28"/>
      <c r="AA16" s="31"/>
      <c r="AB16" s="31"/>
      <c r="AC16" s="32"/>
      <c r="AD16" s="28"/>
      <c r="AE16" s="31"/>
      <c r="AF16" s="31"/>
      <c r="AG16" s="145">
        <v>2</v>
      </c>
      <c r="AH16" s="28"/>
      <c r="AI16" s="143"/>
      <c r="AJ16" s="31"/>
      <c r="AK16" s="145">
        <v>2</v>
      </c>
      <c r="AL16" s="31"/>
      <c r="AM16" s="31">
        <v>1</v>
      </c>
      <c r="AN16" s="31"/>
      <c r="AO16" s="31">
        <v>1</v>
      </c>
      <c r="AP16" s="31"/>
      <c r="AQ16" s="31">
        <f t="shared" si="0"/>
        <v>3510</v>
      </c>
      <c r="AR16" s="31"/>
      <c r="AS16" s="31"/>
      <c r="AT16" s="97" t="str" cm="1">
        <f t="array" aca="1" ref="AT16"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6" s="97" t="str" cm="1">
        <f t="array" aca="1" ref="AU16"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6" s="97" t="str" cm="1">
        <f t="array" aca="1" ref="AV16"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6" s="97" t="str" cm="1">
        <f t="array" aca="1" ref="AW16"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6" s="97" cm="1">
        <f t="array" aca="1" ref="AX16"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2</v>
      </c>
      <c r="AY16" s="97" cm="1">
        <f t="array" aca="1" ref="AY16"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4</v>
      </c>
      <c r="AZ16" s="97" cm="1">
        <f t="array" aca="1" ref="AZ16"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6</v>
      </c>
      <c r="BA16" s="97" cm="1">
        <f t="array" aca="1" ref="BA16"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3516</v>
      </c>
      <c r="BB16" s="28"/>
      <c r="BC16" s="31"/>
      <c r="BD16" s="31"/>
      <c r="BE16" s="31"/>
      <c r="BF16" s="16">
        <v>2</v>
      </c>
      <c r="BG16" s="17">
        <v>2</v>
      </c>
      <c r="BH16" s="176">
        <v>2</v>
      </c>
      <c r="BI16" s="176">
        <v>2</v>
      </c>
      <c r="BJ16" s="170">
        <v>22</v>
      </c>
      <c r="BK16" s="101" t="str" cm="1">
        <f t="array" aca="1" ref="BK16"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6" s="102" t="s" cm="1">
        <v>195</v>
      </c>
      <c r="BM16" s="102" t="s" cm="1">
        <v>195</v>
      </c>
      <c r="BN16" s="102" t="s" cm="1">
        <v>195</v>
      </c>
      <c r="BO16" s="102" cm="1">
        <v>2</v>
      </c>
      <c r="BP16" s="103" cm="1">
        <v>4</v>
      </c>
      <c r="BQ16" s="112" cm="1">
        <v>6</v>
      </c>
      <c r="BR16" s="112" cm="1">
        <v>7</v>
      </c>
      <c r="BS16" s="9" t="str" cm="1">
        <f t="array" aca="1" ref="BS16"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6" s="10" t="str" cm="1">
        <f t="array" aca="1" ref="BT16"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6" s="10" t="str" cm="1">
        <f t="array" aca="1" ref="BU16"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6" s="10" t="str" cm="1">
        <f t="array" aca="1" ref="BV16"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6" s="10" cm="1">
        <f t="array" aca="1" ref="BW16"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16" s="10" cm="1">
        <f t="array" aca="1" ref="BX16"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v>
      </c>
      <c r="BY16" s="10" cm="1">
        <f t="array" aca="1" ref="BY16"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16" s="10" cm="1">
        <f t="array" aca="1" ref="BZ16"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3510</v>
      </c>
      <c r="CA16" s="106" t="str" cm="1">
        <f t="array" aca="1" ref="CA16"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6" s="107" t="str" cm="1">
        <f t="array" aca="1" ref="CB16"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6" s="107" t="str" cm="1">
        <f t="array" aca="1" ref="CC16"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6" s="107" t="str" cm="1">
        <f t="array" aca="1" ref="CD16"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6" s="107" cm="1">
        <f t="array" aca="1" ref="CE16"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16" s="107" cm="1">
        <f t="array" aca="1" ref="CF16"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v>
      </c>
      <c r="CG16" s="123" cm="1">
        <f t="array" aca="1" ref="CG16"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16" s="123" cm="1">
        <f t="array" aca="1" ref="CH16"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502.28571428571428</v>
      </c>
      <c r="CI16" s="21" t="str" cm="1">
        <f t="array" aca="1" ref="CI16"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6" s="54" t="str" cm="1">
        <f t="array" aca="1" ref="CJ16"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6" s="54" t="str" cm="1">
        <f t="array" aca="1" ref="CK16"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6" s="54" t="str" cm="1">
        <f t="array" aca="1" ref="CL16"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6" s="54" cm="1">
        <f t="array" aca="1" ref="CM16"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9.0909090909090912E-2</v>
      </c>
      <c r="CN16" s="54" cm="1">
        <f t="array" aca="1" ref="CN16"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0.18181818181818182</v>
      </c>
      <c r="CO16" s="115" cm="1">
        <f t="array" aca="1" ref="CO16"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0.27272727272727271</v>
      </c>
      <c r="CP16" s="55" cm="1">
        <f t="array" aca="1" ref="CP16"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159.81818181818181</v>
      </c>
    </row>
    <row r="17" spans="1:94" ht="57.6" hidden="1" x14ac:dyDescent="0.3">
      <c r="A17" s="2">
        <v>12</v>
      </c>
      <c r="B17" t="str">
        <f>+LEFT(Info_Productos_Cuantitativo[[#This Row],[Producto esperado]],2)</f>
        <v>1.</v>
      </c>
      <c r="C17" s="127" t="s">
        <v>216</v>
      </c>
      <c r="D17" s="127" t="s">
        <v>217</v>
      </c>
      <c r="E17" s="128" t="s">
        <v>34</v>
      </c>
      <c r="F17" s="129">
        <v>0.04</v>
      </c>
      <c r="G17" s="130"/>
      <c r="H17" s="130" t="s">
        <v>25</v>
      </c>
      <c r="I17" s="130" t="s">
        <v>30</v>
      </c>
      <c r="J17" s="133">
        <v>44562</v>
      </c>
      <c r="K17" s="134">
        <v>46022</v>
      </c>
      <c r="L17" s="94" t="str" cm="1">
        <f t="array" ref="L17">+_xlfn.CONCAT("Q",LEFT(LOOKUP(2,1/(Cuantitativo_Productos[[#This Row],[1er Trimestre 2018]:[4o Trimestre 2025]]&lt;&gt;""),Cuantitativo_Productos[[#Headers],[1er Trimestre 2018]:[4o Trimestre 2025]]),1))</f>
        <v>Q2</v>
      </c>
      <c r="M17" s="108" t="str" cm="1">
        <f t="array" ref="M17">+RIGHT(LOOKUP(2,1/(Cuantitativo_Productos[[#This Row],[1er Trimestre 2018]:[4o Trimestre 2025]]&lt;&gt;""),Cuantitativo_Productos[[#Headers],[1er Trimestre 2018]:[4o Trimestre 2025]]),4)</f>
        <v>2025</v>
      </c>
      <c r="N17" s="28"/>
      <c r="O17" s="31"/>
      <c r="P17" s="31"/>
      <c r="Q17" s="32"/>
      <c r="R17" s="28"/>
      <c r="S17" s="31"/>
      <c r="T17" s="31"/>
      <c r="U17" s="32"/>
      <c r="V17" s="28"/>
      <c r="W17" s="31"/>
      <c r="X17" s="31"/>
      <c r="Y17" s="32"/>
      <c r="Z17" s="28"/>
      <c r="AA17" s="31"/>
      <c r="AB17" s="31"/>
      <c r="AC17" s="32"/>
      <c r="AD17" s="28"/>
      <c r="AE17" s="31"/>
      <c r="AF17" s="31"/>
      <c r="AG17" s="145">
        <v>2</v>
      </c>
      <c r="AH17" s="156"/>
      <c r="AI17" s="154"/>
      <c r="AJ17" s="147"/>
      <c r="AK17" s="145">
        <v>5</v>
      </c>
      <c r="AL17" s="31"/>
      <c r="AM17" s="31"/>
      <c r="AN17" s="31"/>
      <c r="AO17" s="31">
        <v>5</v>
      </c>
      <c r="AP17" s="31"/>
      <c r="AQ17" s="31">
        <f t="shared" si="0"/>
        <v>3510</v>
      </c>
      <c r="AR17" s="31"/>
      <c r="AS17" s="31"/>
      <c r="AT17" s="97" t="str" cm="1">
        <f t="array" aca="1" ref="AT17"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7" s="97" t="str" cm="1">
        <f t="array" aca="1" ref="AU17"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7" s="97" t="str" cm="1">
        <f t="array" aca="1" ref="AV17"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7" s="97" t="str" cm="1">
        <f t="array" aca="1" ref="AW17"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7" s="97" cm="1">
        <f t="array" aca="1" ref="AX17"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2</v>
      </c>
      <c r="AY17" s="97" cm="1">
        <f t="array" aca="1" ref="AY17"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7</v>
      </c>
      <c r="AZ17" s="97" cm="1">
        <f t="array" aca="1" ref="AZ17"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12</v>
      </c>
      <c r="BA17" s="97" cm="1">
        <f t="array" aca="1" ref="BA17"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3522</v>
      </c>
      <c r="BB17" s="28"/>
      <c r="BC17" s="31"/>
      <c r="BD17" s="31"/>
      <c r="BE17" s="31"/>
      <c r="BF17" s="16">
        <v>2</v>
      </c>
      <c r="BG17" s="17">
        <v>5</v>
      </c>
      <c r="BH17" s="176">
        <v>5</v>
      </c>
      <c r="BI17" s="176">
        <v>5</v>
      </c>
      <c r="BJ17" s="170">
        <v>17</v>
      </c>
      <c r="BK17" s="101" t="str" cm="1">
        <f t="array" aca="1" ref="BK17"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7" s="102" t="s" cm="1">
        <v>195</v>
      </c>
      <c r="BM17" s="102" t="s" cm="1">
        <v>195</v>
      </c>
      <c r="BN17" s="102" t="s" cm="1">
        <v>195</v>
      </c>
      <c r="BO17" s="102" cm="1">
        <v>2</v>
      </c>
      <c r="BP17" s="103" cm="1">
        <v>7</v>
      </c>
      <c r="BQ17" s="112" cm="1">
        <v>12</v>
      </c>
      <c r="BR17" s="112" cm="1">
        <v>14.5</v>
      </c>
      <c r="BS17" s="9" t="str" cm="1">
        <f t="array" aca="1" ref="BS17"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7" s="10" t="str" cm="1">
        <f t="array" aca="1" ref="BT17"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7" s="10" t="str" cm="1">
        <f t="array" aca="1" ref="BU17"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7" s="10" t="str" cm="1">
        <f t="array" aca="1" ref="BV17"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7" s="10" cm="1">
        <f t="array" aca="1" ref="BW17"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17" s="10" cm="1">
        <f t="array" aca="1" ref="BX17"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v>
      </c>
      <c r="BY17" s="10" cm="1">
        <f t="array" aca="1" ref="BY17"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17" s="10" cm="1">
        <f t="array" aca="1" ref="BZ17"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1404</v>
      </c>
      <c r="CA17" s="106" t="str" cm="1">
        <f t="array" aca="1" ref="CA17"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7" s="107" t="str" cm="1">
        <f t="array" aca="1" ref="CB17"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7" s="107" t="str" cm="1">
        <f t="array" aca="1" ref="CC17"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7" s="107" t="str" cm="1">
        <f t="array" aca="1" ref="CD17"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7" s="107" cm="1">
        <f t="array" aca="1" ref="CE17"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17" s="107" cm="1">
        <f t="array" aca="1" ref="CF17"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v>
      </c>
      <c r="CG17" s="123" cm="1">
        <f t="array" aca="1" ref="CG17"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17" s="123" cm="1">
        <f t="array" aca="1" ref="CH17"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242.89655172413794</v>
      </c>
      <c r="CI17" s="21" t="str" cm="1">
        <f t="array" aca="1" ref="CI17"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7" s="54" t="str" cm="1">
        <f t="array" aca="1" ref="CJ17"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7" s="54" t="str" cm="1">
        <f t="array" aca="1" ref="CK17"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7" s="54" t="str" cm="1">
        <f t="array" aca="1" ref="CL17"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7" s="54" cm="1">
        <f t="array" aca="1" ref="CM17"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0.11764705882352941</v>
      </c>
      <c r="CN17" s="54" cm="1">
        <f t="array" aca="1" ref="CN17"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0.41176470588235292</v>
      </c>
      <c r="CO17" s="115" cm="1">
        <f t="array" aca="1" ref="CO17"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0.70588235294117652</v>
      </c>
      <c r="CP17" s="55" cm="1">
        <f t="array" aca="1" ref="CP17"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207.1764705882353</v>
      </c>
    </row>
    <row r="18" spans="1:94" ht="57.6" hidden="1" x14ac:dyDescent="0.3">
      <c r="A18" s="2">
        <v>13</v>
      </c>
      <c r="B18" t="str">
        <f>+LEFT(Info_Productos_Cuantitativo[[#This Row],[Producto esperado]],2)</f>
        <v>1.</v>
      </c>
      <c r="C18" s="127" t="s">
        <v>218</v>
      </c>
      <c r="D18" s="127" t="s">
        <v>219</v>
      </c>
      <c r="E18" s="128" t="s">
        <v>13</v>
      </c>
      <c r="F18" s="129">
        <v>0.03</v>
      </c>
      <c r="G18" s="130">
        <v>30</v>
      </c>
      <c r="H18" s="130" t="s">
        <v>25</v>
      </c>
      <c r="I18" s="130" t="s">
        <v>21</v>
      </c>
      <c r="J18" s="133">
        <v>44562</v>
      </c>
      <c r="K18" s="134">
        <v>413821</v>
      </c>
      <c r="L18" s="94" t="str" cm="1">
        <f t="array" ref="L18">+_xlfn.CONCAT("Q",LEFT(LOOKUP(2,1/(Cuantitativo_Productos[[#This Row],[1er Trimestre 2018]:[4o Trimestre 2025]]&lt;&gt;""),Cuantitativo_Productos[[#Headers],[1er Trimestre 2018]:[4o Trimestre 2025]]),1))</f>
        <v>Q2</v>
      </c>
      <c r="M18" s="108" t="str" cm="1">
        <f t="array" ref="M18">+RIGHT(LOOKUP(2,1/(Cuantitativo_Productos[[#This Row],[1er Trimestre 2018]:[4o Trimestre 2025]]&lt;&gt;""),Cuantitativo_Productos[[#Headers],[1er Trimestre 2018]:[4o Trimestre 2025]]),4)</f>
        <v>2025</v>
      </c>
      <c r="N18" s="28"/>
      <c r="O18" s="31"/>
      <c r="P18" s="31"/>
      <c r="Q18" s="32"/>
      <c r="R18" s="28"/>
      <c r="S18" s="31"/>
      <c r="T18" s="31"/>
      <c r="U18" s="32"/>
      <c r="V18" s="28"/>
      <c r="W18" s="31"/>
      <c r="X18" s="31"/>
      <c r="Y18" s="32"/>
      <c r="Z18" s="28"/>
      <c r="AA18" s="31"/>
      <c r="AB18" s="31"/>
      <c r="AC18" s="32"/>
      <c r="AD18" s="28"/>
      <c r="AE18" s="31"/>
      <c r="AF18" s="31"/>
      <c r="AG18" s="145">
        <v>45</v>
      </c>
      <c r="AH18" s="156">
        <v>5</v>
      </c>
      <c r="AI18" s="154">
        <v>5</v>
      </c>
      <c r="AJ18" s="147">
        <v>18</v>
      </c>
      <c r="AK18" s="145">
        <v>5</v>
      </c>
      <c r="AL18" s="31"/>
      <c r="AM18" s="31">
        <v>5</v>
      </c>
      <c r="AN18" s="31"/>
      <c r="AO18" s="31">
        <v>25</v>
      </c>
      <c r="AP18" s="31"/>
      <c r="AQ18" s="31">
        <f t="shared" si="0"/>
        <v>3510</v>
      </c>
      <c r="AR18" s="31"/>
      <c r="AS18" s="31"/>
      <c r="AT18" s="97" t="str" cm="1">
        <f t="array" aca="1" ref="AT18"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8" s="97" t="str" cm="1">
        <f t="array" aca="1" ref="AU18"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8" s="97" t="str" cm="1">
        <f t="array" aca="1" ref="AV18"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8" s="97" t="str" cm="1">
        <f t="array" aca="1" ref="AW18"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8" s="97" cm="1">
        <f t="array" aca="1" ref="AX18"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45</v>
      </c>
      <c r="AY18" s="97" cm="1">
        <f t="array" aca="1" ref="AY18"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78</v>
      </c>
      <c r="AZ18" s="97" cm="1">
        <f t="array" aca="1" ref="AZ18"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108</v>
      </c>
      <c r="BA18" s="97" cm="1">
        <f t="array" aca="1" ref="BA18"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3618</v>
      </c>
      <c r="BB18" s="28"/>
      <c r="BC18" s="31"/>
      <c r="BD18" s="31"/>
      <c r="BE18" s="31"/>
      <c r="BF18" s="16">
        <v>30</v>
      </c>
      <c r="BG18" s="17">
        <v>31</v>
      </c>
      <c r="BH18" s="176">
        <v>30</v>
      </c>
      <c r="BI18" s="176">
        <v>31</v>
      </c>
      <c r="BJ18" s="170">
        <v>343</v>
      </c>
      <c r="BK18" s="101" t="str" cm="1">
        <f t="array" aca="1" ref="BK18"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8" s="102" t="s" cm="1">
        <v>195</v>
      </c>
      <c r="BM18" s="102" t="s" cm="1">
        <v>195</v>
      </c>
      <c r="BN18" s="102" t="s" cm="1">
        <v>195</v>
      </c>
      <c r="BO18" s="102" cm="1">
        <v>30</v>
      </c>
      <c r="BP18" s="103" cm="1">
        <v>61</v>
      </c>
      <c r="BQ18" s="112" cm="1">
        <v>91</v>
      </c>
      <c r="BR18" s="112" cm="1">
        <v>106.5</v>
      </c>
      <c r="BS18" s="9" t="str" cm="1">
        <f t="array" aca="1" ref="BS18"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8" s="10" t="str" cm="1">
        <f t="array" aca="1" ref="BT18"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8" s="10" t="str" cm="1">
        <f t="array" aca="1" ref="BU18"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8" s="10" t="str" cm="1">
        <f t="array" aca="1" ref="BV18"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8" s="10" cm="1">
        <f t="array" aca="1" ref="BW18"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1.5</v>
      </c>
      <c r="BX18" s="10" cm="1">
        <f t="array" aca="1" ref="BX18"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1.064516129032258</v>
      </c>
      <c r="BY18" s="10" cm="1">
        <f t="array" aca="1" ref="BY18"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18" s="10" cm="1">
        <f t="array" aca="1" ref="BZ18"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226.45161290322579</v>
      </c>
      <c r="CA18" s="106" t="str" cm="1">
        <f t="array" aca="1" ref="CA18"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8" s="107" t="str" cm="1">
        <f t="array" aca="1" ref="CB18"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8" s="107" t="str" cm="1">
        <f t="array" aca="1" ref="CC18"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8" s="107" t="str" cm="1">
        <f t="array" aca="1" ref="CD18"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8" s="107" cm="1">
        <f t="array" aca="1" ref="CE18"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1.5</v>
      </c>
      <c r="CF18" s="107" cm="1">
        <f t="array" aca="1" ref="CF18"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1.278688524590164</v>
      </c>
      <c r="CG18" s="123" cm="1">
        <f t="array" aca="1" ref="CG18"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1.1868131868131868</v>
      </c>
      <c r="CH18" s="123" cm="1">
        <f t="array" aca="1" ref="CH18"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33.971830985915496</v>
      </c>
      <c r="CI18" s="21" t="str" cm="1">
        <f t="array" aca="1" ref="CI18"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8" s="54" t="str" cm="1">
        <f t="array" aca="1" ref="CJ18"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8" s="54" t="str" cm="1">
        <f t="array" aca="1" ref="CK18"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8" s="54" t="str" cm="1">
        <f t="array" aca="1" ref="CL18"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8" s="54" cm="1">
        <f t="array" aca="1" ref="CM18"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0.13119533527696792</v>
      </c>
      <c r="CN18" s="54" cm="1">
        <f t="array" aca="1" ref="CN18"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0.22740524781341107</v>
      </c>
      <c r="CO18" s="115" cm="1">
        <f t="array" aca="1" ref="CO18"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0.31486880466472306</v>
      </c>
      <c r="CP18" s="55" cm="1">
        <f t="array" aca="1" ref="CP18"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10.548104956268222</v>
      </c>
    </row>
    <row r="19" spans="1:94" ht="43.2" hidden="1" x14ac:dyDescent="0.3">
      <c r="A19" s="2">
        <v>14</v>
      </c>
      <c r="B19" t="str">
        <f>+LEFT(Info_Productos_Cuantitativo[[#This Row],[Producto esperado]],2)</f>
        <v>2.</v>
      </c>
      <c r="C19" s="127" t="s">
        <v>220</v>
      </c>
      <c r="D19" s="127" t="s">
        <v>221</v>
      </c>
      <c r="E19" s="128" t="s">
        <v>13</v>
      </c>
      <c r="F19" s="129">
        <v>0.05</v>
      </c>
      <c r="G19" s="130"/>
      <c r="H19" s="130" t="s">
        <v>25</v>
      </c>
      <c r="I19" s="130" t="s">
        <v>30</v>
      </c>
      <c r="J19" s="133">
        <v>44835</v>
      </c>
      <c r="K19" s="134">
        <v>413090</v>
      </c>
      <c r="L19" s="94" t="str" cm="1">
        <f t="array" ref="L19">+_xlfn.CONCAT("Q",LEFT(LOOKUP(2,1/(Cuantitativo_Productos[[#This Row],[1er Trimestre 2018]:[4o Trimestre 2025]]&lt;&gt;""),Cuantitativo_Productos[[#Headers],[1er Trimestre 2018]:[4o Trimestre 2025]]),1))</f>
        <v>Q2</v>
      </c>
      <c r="M19" s="108" t="str" cm="1">
        <f t="array" ref="M19">+RIGHT(LOOKUP(2,1/(Cuantitativo_Productos[[#This Row],[1er Trimestre 2018]:[4o Trimestre 2025]]&lt;&gt;""),Cuantitativo_Productos[[#Headers],[1er Trimestre 2018]:[4o Trimestre 2025]]),4)</f>
        <v>2025</v>
      </c>
      <c r="N19" s="28"/>
      <c r="O19" s="31"/>
      <c r="P19" s="31"/>
      <c r="Q19" s="32"/>
      <c r="R19" s="28"/>
      <c r="S19" s="31"/>
      <c r="T19" s="31"/>
      <c r="U19" s="32"/>
      <c r="V19" s="28"/>
      <c r="W19" s="31"/>
      <c r="X19" s="31"/>
      <c r="Y19" s="32"/>
      <c r="Z19" s="28"/>
      <c r="AA19" s="31"/>
      <c r="AB19" s="31"/>
      <c r="AC19" s="32"/>
      <c r="AD19" s="28"/>
      <c r="AE19" s="31"/>
      <c r="AF19" s="31"/>
      <c r="AG19" s="32">
        <v>0.5</v>
      </c>
      <c r="AH19" s="28"/>
      <c r="AI19" s="143"/>
      <c r="AJ19" s="31"/>
      <c r="AK19" s="32"/>
      <c r="AL19" s="31"/>
      <c r="AM19" s="31"/>
      <c r="AN19" s="31"/>
      <c r="AO19" s="31"/>
      <c r="AP19" s="31"/>
      <c r="AQ19" s="31">
        <f t="shared" si="0"/>
        <v>3510</v>
      </c>
      <c r="AR19" s="31"/>
      <c r="AS19" s="31"/>
      <c r="AT19" s="97" t="str" cm="1">
        <f t="array" aca="1" ref="AT19"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19" s="97" t="str" cm="1">
        <f t="array" aca="1" ref="AU19"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19" s="97" t="str" cm="1">
        <f t="array" aca="1" ref="AV19"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19" s="97" t="str" cm="1">
        <f t="array" aca="1" ref="AW19"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19" s="97" cm="1">
        <f t="array" aca="1" ref="AX19"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0.5</v>
      </c>
      <c r="AY19" s="97" cm="1">
        <f t="array" aca="1" ref="AY19"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0.5</v>
      </c>
      <c r="AZ19" s="97" cm="1">
        <f t="array" aca="1" ref="AZ19"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0.5</v>
      </c>
      <c r="BA19" s="97" cm="1">
        <f t="array" aca="1" ref="BA19"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3510.5</v>
      </c>
      <c r="BB19" s="28"/>
      <c r="BC19" s="31"/>
      <c r="BD19" s="31"/>
      <c r="BE19" s="31"/>
      <c r="BF19" s="31">
        <v>1</v>
      </c>
      <c r="BG19" s="32"/>
      <c r="BH19" s="188"/>
      <c r="BI19" s="188"/>
      <c r="BJ19" s="184">
        <v>3</v>
      </c>
      <c r="BK19" s="97" t="str" cm="1">
        <f t="array" aca="1" ref="BK19"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19" s="105" t="s" cm="1">
        <v>195</v>
      </c>
      <c r="BM19" s="105" t="s" cm="1">
        <v>195</v>
      </c>
      <c r="BN19" s="105" t="s" cm="1">
        <v>195</v>
      </c>
      <c r="BO19" s="105" cm="1">
        <v>1</v>
      </c>
      <c r="BP19" s="121" cm="1">
        <v>1</v>
      </c>
      <c r="BQ19" s="119" cm="1">
        <v>1</v>
      </c>
      <c r="BR19" s="119" cm="1">
        <v>1</v>
      </c>
      <c r="BS19" s="9" t="str" cm="1">
        <f t="array" aca="1" ref="BS19"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19" s="10" t="str" cm="1">
        <f t="array" aca="1" ref="BT19"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19" s="10" t="str" cm="1">
        <f t="array" aca="1" ref="BU19"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19" s="10" t="str" cm="1">
        <f t="array" aca="1" ref="BV19"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19" s="10" cm="1">
        <f t="array" aca="1" ref="BW19"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0.5</v>
      </c>
      <c r="BX19" s="10" t="str" cm="1">
        <f t="array" aca="1" ref="BX19"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
      </c>
      <c r="BY19" s="10" t="str" cm="1">
        <f t="array" aca="1" ref="BY19"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
      </c>
      <c r="BZ19" s="10" t="str" cm="1">
        <f t="array" aca="1" ref="BZ19"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
      </c>
      <c r="CA19" s="106" t="str" cm="1">
        <f t="array" aca="1" ref="CA19"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19" s="107" t="str" cm="1">
        <f t="array" aca="1" ref="CB19"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19" s="107" t="str" cm="1">
        <f t="array" aca="1" ref="CC19"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19" s="107" t="str" cm="1">
        <f t="array" aca="1" ref="CD19"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19" s="107" cm="1">
        <f t="array" aca="1" ref="CE19"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0.5</v>
      </c>
      <c r="CF19" s="107" cm="1">
        <f t="array" aca="1" ref="CF19"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0.5</v>
      </c>
      <c r="CG19" s="123" cm="1">
        <f t="array" aca="1" ref="CG19"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0.5</v>
      </c>
      <c r="CH19" s="123" cm="1">
        <f t="array" aca="1" ref="CH19"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3510.5</v>
      </c>
      <c r="CI19" s="21" t="str" cm="1">
        <f t="array" aca="1" ref="CI19"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19" s="54" t="str" cm="1">
        <f t="array" aca="1" ref="CJ19"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19" s="54" t="str" cm="1">
        <f t="array" aca="1" ref="CK19"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19" s="54" t="str" cm="1">
        <f t="array" aca="1" ref="CL19"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19" s="54" cm="1">
        <f t="array" aca="1" ref="CM19"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0.16666666666666666</v>
      </c>
      <c r="CN19" s="54" cm="1">
        <f t="array" aca="1" ref="CN19"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0.16666666666666666</v>
      </c>
      <c r="CO19" s="115" cm="1">
        <f t="array" aca="1" ref="CO19"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0.16666666666666666</v>
      </c>
      <c r="CP19" s="55" cm="1">
        <f t="array" aca="1" ref="CP19"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1170.1666666666667</v>
      </c>
    </row>
    <row r="20" spans="1:94" ht="43.2" hidden="1" x14ac:dyDescent="0.3">
      <c r="A20" s="2">
        <v>15</v>
      </c>
      <c r="B20" t="str">
        <f>+LEFT(Info_Productos_Cuantitativo[[#This Row],[Producto esperado]],2)</f>
        <v>2.</v>
      </c>
      <c r="C20" s="127" t="s">
        <v>222</v>
      </c>
      <c r="D20" s="127" t="s">
        <v>223</v>
      </c>
      <c r="E20" s="128" t="s">
        <v>13</v>
      </c>
      <c r="F20" s="129">
        <v>0.05</v>
      </c>
      <c r="G20" s="130">
        <v>0</v>
      </c>
      <c r="H20" s="130" t="s">
        <v>10</v>
      </c>
      <c r="I20" s="130" t="s">
        <v>30</v>
      </c>
      <c r="J20" s="133">
        <v>44835</v>
      </c>
      <c r="K20" s="134">
        <v>48579</v>
      </c>
      <c r="L20" s="94" t="str" cm="1">
        <f t="array" ref="L20">+_xlfn.CONCAT("Q",LEFT(LOOKUP(2,1/(Cuantitativo_Productos[[#This Row],[1er Trimestre 2018]:[4o Trimestre 2025]]&lt;&gt;""),Cuantitativo_Productos[[#Headers],[1er Trimestre 2018]:[4o Trimestre 2025]]),1))</f>
        <v>Q2</v>
      </c>
      <c r="M20" s="108" t="str" cm="1">
        <f t="array" ref="M20">+RIGHT(LOOKUP(2,1/(Cuantitativo_Productos[[#This Row],[1er Trimestre 2018]:[4o Trimestre 2025]]&lt;&gt;""),Cuantitativo_Productos[[#Headers],[1er Trimestre 2018]:[4o Trimestre 2025]]),4)</f>
        <v>2025</v>
      </c>
      <c r="N20" s="28"/>
      <c r="O20" s="31"/>
      <c r="P20" s="31"/>
      <c r="Q20" s="32"/>
      <c r="R20" s="28"/>
      <c r="S20" s="31"/>
      <c r="T20" s="31"/>
      <c r="U20" s="32"/>
      <c r="V20" s="28"/>
      <c r="W20" s="31"/>
      <c r="X20" s="31"/>
      <c r="Y20" s="32"/>
      <c r="Z20" s="28"/>
      <c r="AA20" s="31"/>
      <c r="AB20" s="31"/>
      <c r="AC20" s="32"/>
      <c r="AD20" s="28"/>
      <c r="AE20" s="31"/>
      <c r="AF20" s="31"/>
      <c r="AG20" s="145">
        <v>4</v>
      </c>
      <c r="AH20" s="157"/>
      <c r="AI20" s="154"/>
      <c r="AJ20" s="147"/>
      <c r="AK20" s="145">
        <v>8</v>
      </c>
      <c r="AL20" s="31"/>
      <c r="AM20" s="31"/>
      <c r="AN20" s="31"/>
      <c r="AO20" s="31">
        <v>15</v>
      </c>
      <c r="AP20" s="31"/>
      <c r="AQ20" s="31">
        <f t="shared" si="0"/>
        <v>3510</v>
      </c>
      <c r="AR20" s="31"/>
      <c r="AS20" s="31"/>
      <c r="AT20" s="97" t="str" cm="1">
        <f t="array" aca="1" ref="AT20"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0" s="97" t="str" cm="1">
        <f t="array" aca="1" ref="AU20"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0" s="97" t="str" cm="1">
        <f t="array" aca="1" ref="AV20"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0" s="97" t="str" cm="1">
        <f t="array" aca="1" ref="AW20"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0" s="97" cm="1">
        <f t="array" aca="1" ref="AX20"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4</v>
      </c>
      <c r="AY20" s="97" t="e" cm="1">
        <f t="array" aca="1" ref="AY20"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#NAME?</v>
      </c>
      <c r="AZ20" s="97" t="e" cm="1">
        <f t="array" aca="1" ref="AZ20"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#NAME?</v>
      </c>
      <c r="BA20" s="97" t="e" cm="1">
        <f t="array" aca="1" ref="BA20"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#NAME?</v>
      </c>
      <c r="BB20" s="28"/>
      <c r="BC20" s="31"/>
      <c r="BD20" s="31"/>
      <c r="BE20" s="31"/>
      <c r="BF20" s="16">
        <v>4</v>
      </c>
      <c r="BG20" s="17">
        <v>8</v>
      </c>
      <c r="BH20" s="174">
        <v>14</v>
      </c>
      <c r="BI20" s="174">
        <v>20</v>
      </c>
      <c r="BJ20" s="170">
        <v>52</v>
      </c>
      <c r="BK20" s="101" t="str" cm="1">
        <f t="array" aca="1" ref="BK20"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0" s="102" t="s" cm="1">
        <v>195</v>
      </c>
      <c r="BM20" s="102" t="s" cm="1">
        <v>195</v>
      </c>
      <c r="BN20" s="102" t="s" cm="1">
        <v>195</v>
      </c>
      <c r="BO20" s="102" cm="1">
        <v>4</v>
      </c>
      <c r="BP20" s="103" cm="1">
        <v>8</v>
      </c>
      <c r="BQ20" s="112" cm="1">
        <v>14</v>
      </c>
      <c r="BR20" s="112" cm="1">
        <v>17</v>
      </c>
      <c r="BS20" s="9" t="str" cm="1">
        <f t="array" aca="1" ref="BS20"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0" s="10" t="str" cm="1">
        <f t="array" aca="1" ref="BT20"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0" s="10" t="str" cm="1">
        <f t="array" aca="1" ref="BU20"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0" s="10" t="str" cm="1">
        <f t="array" aca="1" ref="BV20"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0" s="10" t="e" cm="1">
        <f t="array" aca="1" ref="BW20"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#NAME?</v>
      </c>
      <c r="BX20" s="10" t="e" cm="1">
        <f t="array" aca="1" ref="BX20"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#NAME?</v>
      </c>
      <c r="BY20" s="10" t="e" cm="1">
        <f t="array" aca="1" ref="BY20"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#NAME?</v>
      </c>
      <c r="BZ20" s="10" t="e" cm="1">
        <f t="array" aca="1" ref="BZ20"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#NAME?</v>
      </c>
      <c r="CA20" s="106" t="str" cm="1">
        <f t="array" aca="1" ref="CA20"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0" s="107" t="str" cm="1">
        <f t="array" aca="1" ref="CB20"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0" s="107" t="str" cm="1">
        <f t="array" aca="1" ref="CC20"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0" s="107" t="str" cm="1">
        <f t="array" aca="1" ref="CD20"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0" s="107" t="e" cm="1">
        <f t="array" aca="1" ref="CE20"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#NAME?</v>
      </c>
      <c r="CF20" s="107" t="e" cm="1">
        <f t="array" aca="1" ref="CF20"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#NAME?</v>
      </c>
      <c r="CG20" s="123" t="e" cm="1">
        <f t="array" aca="1" ref="CG20"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#NAME?</v>
      </c>
      <c r="CH20" s="123" t="e" cm="1">
        <f t="array" aca="1" ref="CH20"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#NAME?</v>
      </c>
      <c r="CI20" s="21" t="str" cm="1">
        <f t="array" aca="1" ref="CI20"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0" s="54" t="str" cm="1">
        <f t="array" aca="1" ref="CJ20"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0" s="54" t="str" cm="1">
        <f t="array" aca="1" ref="CK20"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0" s="54" t="str" cm="1">
        <f t="array" aca="1" ref="CL20"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0" s="54" t="e" cm="1">
        <f t="array" aca="1" ref="CM20"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#NAME?</v>
      </c>
      <c r="CN20" s="54" t="e" cm="1">
        <f t="array" aca="1" ref="CN20"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#NAME?</v>
      </c>
      <c r="CO20" s="115" t="e" cm="1">
        <f t="array" aca="1" ref="CO20"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#NAME?</v>
      </c>
      <c r="CP20" s="55" t="e" cm="1">
        <f t="array" aca="1" ref="CP20"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#NAME?</v>
      </c>
    </row>
    <row r="21" spans="1:94" ht="43.2" hidden="1" x14ac:dyDescent="0.3">
      <c r="A21" s="2">
        <v>16</v>
      </c>
      <c r="B21" t="str">
        <f>+LEFT(Info_Productos_Cuantitativo[[#This Row],[Producto esperado]],2)</f>
        <v>2.</v>
      </c>
      <c r="C21" s="127" t="s">
        <v>224</v>
      </c>
      <c r="D21" s="127" t="s">
        <v>225</v>
      </c>
      <c r="E21" s="128" t="s">
        <v>13</v>
      </c>
      <c r="F21" s="129">
        <v>0.03</v>
      </c>
      <c r="G21" s="130">
        <v>44</v>
      </c>
      <c r="H21" s="130" t="s">
        <v>25</v>
      </c>
      <c r="I21" s="130" t="s">
        <v>21</v>
      </c>
      <c r="J21" s="133">
        <v>44562</v>
      </c>
      <c r="K21" s="134">
        <v>413821</v>
      </c>
      <c r="L21" s="94" t="str" cm="1">
        <f t="array" ref="L21">+_xlfn.CONCAT("Q",LEFT(LOOKUP(2,1/(Cuantitativo_Productos[[#This Row],[1er Trimestre 2018]:[4o Trimestre 2025]]&lt;&gt;""),Cuantitativo_Productos[[#Headers],[1er Trimestre 2018]:[4o Trimestre 2025]]),1))</f>
        <v>Q2</v>
      </c>
      <c r="M21" s="108" t="str" cm="1">
        <f t="array" ref="M21">+RIGHT(LOOKUP(2,1/(Cuantitativo_Productos[[#This Row],[1er Trimestre 2018]:[4o Trimestre 2025]]&lt;&gt;""),Cuantitativo_Productos[[#Headers],[1er Trimestre 2018]:[4o Trimestre 2025]]),4)</f>
        <v>2025</v>
      </c>
      <c r="N21" s="28"/>
      <c r="O21" s="31"/>
      <c r="P21" s="31"/>
      <c r="Q21" s="32"/>
      <c r="R21" s="28"/>
      <c r="S21" s="31"/>
      <c r="T21" s="31"/>
      <c r="U21" s="32"/>
      <c r="V21" s="28"/>
      <c r="W21" s="31"/>
      <c r="X21" s="31"/>
      <c r="Y21" s="32"/>
      <c r="Z21" s="28"/>
      <c r="AA21" s="31"/>
      <c r="AB21" s="31"/>
      <c r="AC21" s="32"/>
      <c r="AD21" s="28"/>
      <c r="AE21" s="31"/>
      <c r="AF21" s="31"/>
      <c r="AG21" s="148">
        <v>40</v>
      </c>
      <c r="AH21" s="149">
        <v>3</v>
      </c>
      <c r="AI21" s="158">
        <v>6</v>
      </c>
      <c r="AJ21" s="155">
        <v>18</v>
      </c>
      <c r="AK21" s="16">
        <v>19</v>
      </c>
      <c r="AL21" s="31"/>
      <c r="AM21" s="31">
        <v>14</v>
      </c>
      <c r="AN21" s="31"/>
      <c r="AO21" s="31">
        <v>4</v>
      </c>
      <c r="AP21" s="31"/>
      <c r="AQ21" s="31">
        <f t="shared" si="0"/>
        <v>3510</v>
      </c>
      <c r="AR21" s="31"/>
      <c r="AS21" s="31"/>
      <c r="AT21" s="97" t="str" cm="1">
        <f t="array" aca="1" ref="AT21"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1" s="97" t="str" cm="1">
        <f t="array" aca="1" ref="AU21"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1" s="97" t="str" cm="1">
        <f t="array" aca="1" ref="AV21"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1" s="97" t="str" cm="1">
        <f t="array" aca="1" ref="AW21"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1" s="97" cm="1">
        <f t="array" aca="1" ref="AX21"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40</v>
      </c>
      <c r="AY21" s="97" cm="1">
        <f t="array" aca="1" ref="AY21"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86</v>
      </c>
      <c r="AZ21" s="97" cm="1">
        <f t="array" aca="1" ref="AZ21"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104</v>
      </c>
      <c r="BA21" s="97" cm="1">
        <f t="array" aca="1" ref="BA21"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3614</v>
      </c>
      <c r="BB21" s="28"/>
      <c r="BC21" s="31"/>
      <c r="BD21" s="31"/>
      <c r="BE21" s="31"/>
      <c r="BF21" s="16">
        <v>44</v>
      </c>
      <c r="BG21" s="17">
        <v>44</v>
      </c>
      <c r="BH21" s="174">
        <v>15</v>
      </c>
      <c r="BI21" s="174">
        <v>44</v>
      </c>
      <c r="BJ21" s="168">
        <v>397</v>
      </c>
      <c r="BK21" s="101" t="str" cm="1">
        <f t="array" aca="1" ref="BK21"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1" s="102" t="s" cm="1">
        <v>195</v>
      </c>
      <c r="BM21" s="102" t="s" cm="1">
        <v>195</v>
      </c>
      <c r="BN21" s="102" t="s" cm="1">
        <v>195</v>
      </c>
      <c r="BO21" s="102" cm="1">
        <v>44</v>
      </c>
      <c r="BP21" s="103" cm="1">
        <v>88</v>
      </c>
      <c r="BQ21" s="112" cm="1">
        <v>103</v>
      </c>
      <c r="BR21" s="112" cm="1">
        <v>125</v>
      </c>
      <c r="BS21" s="9" t="str" cm="1">
        <f t="array" aca="1" ref="BS21"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1" s="10" t="str" cm="1">
        <f t="array" aca="1" ref="BT21"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1" s="10" t="str" cm="1">
        <f t="array" aca="1" ref="BU21"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1" s="10" t="str" cm="1">
        <f t="array" aca="1" ref="BV21"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1" s="10" cm="1">
        <f t="array" aca="1" ref="BW21"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0.90909090909090906</v>
      </c>
      <c r="BX21" s="10" cm="1">
        <f t="array" aca="1" ref="BX21"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1.0454545454545454</v>
      </c>
      <c r="BY21" s="10" cm="1">
        <f t="array" aca="1" ref="BY21"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1.2</v>
      </c>
      <c r="BZ21" s="10" cm="1">
        <f t="array" aca="1" ref="BZ21"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159.54545454545453</v>
      </c>
      <c r="CA21" s="106" t="str" cm="1">
        <f t="array" aca="1" ref="CA21"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1" s="107" t="str" cm="1">
        <f t="array" aca="1" ref="CB21"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1" s="107" t="str" cm="1">
        <f t="array" aca="1" ref="CC21"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1" s="107" t="str" cm="1">
        <f t="array" aca="1" ref="CD21"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1" s="107" cm="1">
        <f t="array" aca="1" ref="CE21"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0.90909090909090906</v>
      </c>
      <c r="CF21" s="107" cm="1">
        <f t="array" aca="1" ref="CF21"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0.97727272727272729</v>
      </c>
      <c r="CG21" s="123" cm="1">
        <f t="array" aca="1" ref="CG21"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1.0097087378640777</v>
      </c>
      <c r="CH21" s="123" cm="1">
        <f t="array" aca="1" ref="CH21"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28.911999999999999</v>
      </c>
      <c r="CI21" s="21" t="str" cm="1">
        <f t="array" aca="1" ref="CI21"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1" s="54" t="str" cm="1">
        <f t="array" aca="1" ref="CJ21"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1" s="54" t="str" cm="1">
        <f t="array" aca="1" ref="CK21"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1" s="54" t="str" cm="1">
        <f t="array" aca="1" ref="CL21"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1" s="54" cm="1">
        <f t="array" aca="1" ref="CM21"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0.10075566750629723</v>
      </c>
      <c r="CN21" s="54" cm="1">
        <f t="array" aca="1" ref="CN21"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0.21662468513853905</v>
      </c>
      <c r="CO21" s="115" cm="1">
        <f t="array" aca="1" ref="CO21"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0.26196473551637278</v>
      </c>
      <c r="CP21" s="55" cm="1">
        <f t="array" aca="1" ref="CP21"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9.1032745591939541</v>
      </c>
    </row>
    <row r="22" spans="1:94" ht="72" hidden="1" x14ac:dyDescent="0.3">
      <c r="A22" s="2">
        <v>17</v>
      </c>
      <c r="B22" t="str">
        <f>+LEFT(Info_Productos_Cuantitativo[[#This Row],[Producto esperado]],2)</f>
        <v>2.</v>
      </c>
      <c r="C22" s="127" t="s">
        <v>226</v>
      </c>
      <c r="D22" s="127" t="s">
        <v>227</v>
      </c>
      <c r="E22" s="128" t="s">
        <v>13</v>
      </c>
      <c r="F22" s="129">
        <v>0.04</v>
      </c>
      <c r="G22" s="130">
        <v>1933</v>
      </c>
      <c r="H22" s="130" t="s">
        <v>25</v>
      </c>
      <c r="I22" s="130" t="s">
        <v>21</v>
      </c>
      <c r="J22" s="133">
        <v>44562</v>
      </c>
      <c r="K22" s="134">
        <v>413821</v>
      </c>
      <c r="L22" s="94" t="str" cm="1">
        <f t="array" ref="L22">+_xlfn.CONCAT("Q",LEFT(LOOKUP(2,1/(Cuantitativo_Productos[[#This Row],[1er Trimestre 2018]:[4o Trimestre 2025]]&lt;&gt;""),Cuantitativo_Productos[[#Headers],[1er Trimestre 2018]:[4o Trimestre 2025]]),1))</f>
        <v>Q2</v>
      </c>
      <c r="M22" s="108" t="str" cm="1">
        <f t="array" ref="M22">+RIGHT(LOOKUP(2,1/(Cuantitativo_Productos[[#This Row],[1er Trimestre 2018]:[4o Trimestre 2025]]&lt;&gt;""),Cuantitativo_Productos[[#Headers],[1er Trimestre 2018]:[4o Trimestre 2025]]),4)</f>
        <v>2025</v>
      </c>
      <c r="N22" s="28"/>
      <c r="O22" s="31"/>
      <c r="P22" s="31"/>
      <c r="Q22" s="32"/>
      <c r="R22" s="28"/>
      <c r="S22" s="31"/>
      <c r="T22" s="31"/>
      <c r="U22" s="32"/>
      <c r="V22" s="28"/>
      <c r="W22" s="31"/>
      <c r="X22" s="31"/>
      <c r="Y22" s="32"/>
      <c r="Z22" s="28"/>
      <c r="AA22" s="31"/>
      <c r="AB22" s="31"/>
      <c r="AC22" s="32"/>
      <c r="AD22" s="28"/>
      <c r="AE22" s="31"/>
      <c r="AF22" s="31"/>
      <c r="AG22" s="145">
        <v>239</v>
      </c>
      <c r="AH22" s="28">
        <v>0</v>
      </c>
      <c r="AI22" s="143">
        <v>0</v>
      </c>
      <c r="AJ22" s="159">
        <v>74</v>
      </c>
      <c r="AK22" s="145">
        <v>131</v>
      </c>
      <c r="AL22" s="31"/>
      <c r="AM22" s="31">
        <v>30</v>
      </c>
      <c r="AN22" s="31"/>
      <c r="AO22" s="31">
        <v>102</v>
      </c>
      <c r="AP22" s="31"/>
      <c r="AQ22" s="31">
        <f t="shared" si="0"/>
        <v>3510</v>
      </c>
      <c r="AR22" s="31"/>
      <c r="AS22" s="31"/>
      <c r="AT22" s="97" t="str" cm="1">
        <f t="array" aca="1" ref="AT22"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2" s="97" t="str" cm="1">
        <f t="array" aca="1" ref="AU22"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2" s="97" t="str" cm="1">
        <f t="array" aca="1" ref="AV22"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2" s="97" t="str" cm="1">
        <f t="array" aca="1" ref="AW22"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2" s="97" cm="1">
        <f t="array" aca="1" ref="AX22"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239</v>
      </c>
      <c r="AY22" s="97" cm="1">
        <f t="array" aca="1" ref="AY22"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444</v>
      </c>
      <c r="AZ22" s="97" cm="1">
        <f t="array" aca="1" ref="AZ22"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576</v>
      </c>
      <c r="BA22" s="97" cm="1">
        <f t="array" aca="1" ref="BA22"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4086</v>
      </c>
      <c r="BB22" s="28"/>
      <c r="BC22" s="31"/>
      <c r="BD22" s="31"/>
      <c r="BE22" s="31"/>
      <c r="BF22" s="16">
        <v>98</v>
      </c>
      <c r="BG22" s="17">
        <v>100</v>
      </c>
      <c r="BH22" s="174">
        <v>98</v>
      </c>
      <c r="BI22" s="174">
        <v>100</v>
      </c>
      <c r="BJ22" s="184">
        <v>1104</v>
      </c>
      <c r="BK22" s="97" t="str" cm="1">
        <f t="array" aca="1" ref="BK22"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2" s="105" t="s" cm="1">
        <v>195</v>
      </c>
      <c r="BM22" s="105" t="s" cm="1">
        <v>195</v>
      </c>
      <c r="BN22" s="105" t="s" cm="1">
        <v>195</v>
      </c>
      <c r="BO22" s="105" cm="1">
        <v>98</v>
      </c>
      <c r="BP22" s="121" cm="1">
        <v>198</v>
      </c>
      <c r="BQ22" s="119" cm="1">
        <v>296</v>
      </c>
      <c r="BR22" s="119" cm="1">
        <v>346</v>
      </c>
      <c r="BS22" s="9" t="str" cm="1">
        <f t="array" aca="1" ref="BS22"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2" s="10" t="str" cm="1">
        <f t="array" aca="1" ref="BT22"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2" s="10" t="str" cm="1">
        <f t="array" aca="1" ref="BU22"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2" s="10" t="str" cm="1">
        <f t="array" aca="1" ref="BV22"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2" s="10" cm="1">
        <f t="array" aca="1" ref="BW22"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2.4387755102040818</v>
      </c>
      <c r="BX22" s="10" cm="1">
        <f t="array" aca="1" ref="BX22"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2.0499999999999998</v>
      </c>
      <c r="BY22" s="10" cm="1">
        <f t="array" aca="1" ref="BY22"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1.346938775510204</v>
      </c>
      <c r="BZ22" s="10" cm="1">
        <f t="array" aca="1" ref="BZ22"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70.2</v>
      </c>
      <c r="CA22" s="106" t="str" cm="1">
        <f t="array" aca="1" ref="CA22"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2" s="107" t="str" cm="1">
        <f t="array" aca="1" ref="CB22"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2" s="107" t="str" cm="1">
        <f t="array" aca="1" ref="CC22"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2" s="107" t="str" cm="1">
        <f t="array" aca="1" ref="CD22"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2" s="107" cm="1">
        <f t="array" aca="1" ref="CE22"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2.4387755102040818</v>
      </c>
      <c r="CF22" s="107" cm="1">
        <f t="array" aca="1" ref="CF22"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2.2424242424242422</v>
      </c>
      <c r="CG22" s="123" cm="1">
        <f t="array" aca="1" ref="CG22"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1.9459459459459461</v>
      </c>
      <c r="CH22" s="123" cm="1">
        <f t="array" aca="1" ref="CH22"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11.809248554913294</v>
      </c>
      <c r="CI22" s="21" t="str" cm="1">
        <f t="array" aca="1" ref="CI22"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2" s="54" t="str" cm="1">
        <f t="array" aca="1" ref="CJ22"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2" s="54" t="str" cm="1">
        <f t="array" aca="1" ref="CK22"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2" s="54" t="str" cm="1">
        <f t="array" aca="1" ref="CL22"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2" s="54" cm="1">
        <f t="array" aca="1" ref="CM22"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0.2164855072463768</v>
      </c>
      <c r="CN22" s="54" cm="1">
        <f t="array" aca="1" ref="CN22"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0.40217391304347827</v>
      </c>
      <c r="CO22" s="115" cm="1">
        <f t="array" aca="1" ref="CO22"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0.52173913043478259</v>
      </c>
      <c r="CP22" s="55" cm="1">
        <f t="array" aca="1" ref="CP22"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3.7010869565217392</v>
      </c>
    </row>
    <row r="23" spans="1:94" ht="86.4" hidden="1" x14ac:dyDescent="0.3">
      <c r="A23" s="2">
        <v>18</v>
      </c>
      <c r="B23" t="str">
        <f>+LEFT(Info_Productos_Cuantitativo[[#This Row],[Producto esperado]],2)</f>
        <v>2.</v>
      </c>
      <c r="C23" s="127" t="s">
        <v>228</v>
      </c>
      <c r="D23" s="127" t="s">
        <v>229</v>
      </c>
      <c r="E23" s="128" t="s">
        <v>13</v>
      </c>
      <c r="F23" s="129">
        <v>0.03</v>
      </c>
      <c r="G23" s="130">
        <v>37</v>
      </c>
      <c r="H23" s="130" t="s">
        <v>25</v>
      </c>
      <c r="I23" s="130" t="s">
        <v>21</v>
      </c>
      <c r="J23" s="133">
        <v>44927</v>
      </c>
      <c r="K23" s="134">
        <v>48579</v>
      </c>
      <c r="L23" s="94" t="str" cm="1">
        <f t="array" ref="L23">+_xlfn.CONCAT("Q",LEFT(LOOKUP(2,1/(Cuantitativo_Productos[[#This Row],[1er Trimestre 2018]:[4o Trimestre 2025]]&lt;&gt;""),Cuantitativo_Productos[[#Headers],[1er Trimestre 2018]:[4o Trimestre 2025]]),1))</f>
        <v>Q2</v>
      </c>
      <c r="M23" s="108" t="str" cm="1">
        <f t="array" ref="M23">+RIGHT(LOOKUP(2,1/(Cuantitativo_Productos[[#This Row],[1er Trimestre 2018]:[4o Trimestre 2025]]&lt;&gt;""),Cuantitativo_Productos[[#Headers],[1er Trimestre 2018]:[4o Trimestre 2025]]),4)</f>
        <v>2025</v>
      </c>
      <c r="N23" s="28"/>
      <c r="O23" s="31"/>
      <c r="P23" s="31"/>
      <c r="Q23" s="32"/>
      <c r="R23" s="28"/>
      <c r="S23" s="31"/>
      <c r="T23" s="31"/>
      <c r="U23" s="32"/>
      <c r="V23" s="28"/>
      <c r="W23" s="31"/>
      <c r="X23" s="31"/>
      <c r="Y23" s="32"/>
      <c r="Z23" s="28"/>
      <c r="AA23" s="31"/>
      <c r="AB23" s="31"/>
      <c r="AC23" s="32"/>
      <c r="AD23" s="28"/>
      <c r="AE23" s="31"/>
      <c r="AF23" s="31"/>
      <c r="AG23" s="145">
        <v>18</v>
      </c>
      <c r="AH23" s="156">
        <v>0</v>
      </c>
      <c r="AI23" s="154">
        <v>8</v>
      </c>
      <c r="AJ23" s="147">
        <v>6</v>
      </c>
      <c r="AK23" s="152">
        <v>22</v>
      </c>
      <c r="AL23" s="31">
        <v>0</v>
      </c>
      <c r="AM23" s="31">
        <v>7</v>
      </c>
      <c r="AN23" s="31"/>
      <c r="AO23" s="31">
        <v>26</v>
      </c>
      <c r="AP23" s="31"/>
      <c r="AQ23" s="31">
        <f t="shared" si="0"/>
        <v>3510</v>
      </c>
      <c r="AR23" s="31"/>
      <c r="AS23" s="31"/>
      <c r="AT23" s="97" t="str" cm="1">
        <f t="array" aca="1" ref="AT23"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3" s="97" t="str" cm="1">
        <f t="array" aca="1" ref="AU23"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3" s="97" t="str" cm="1">
        <f t="array" aca="1" ref="AV23"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3" s="97" t="str" cm="1">
        <f t="array" aca="1" ref="AW23"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3" s="97" cm="1">
        <f t="array" aca="1" ref="AX23"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18</v>
      </c>
      <c r="AY23" s="97" cm="1">
        <f t="array" aca="1" ref="AY23"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54</v>
      </c>
      <c r="AZ23" s="97" cm="1">
        <f t="array" aca="1" ref="AZ23"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87</v>
      </c>
      <c r="BA23" s="97" cm="1">
        <f t="array" aca="1" ref="BA23"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3597</v>
      </c>
      <c r="BB23" s="28"/>
      <c r="BC23" s="31"/>
      <c r="BD23" s="31"/>
      <c r="BE23" s="31"/>
      <c r="BF23" s="16">
        <v>37</v>
      </c>
      <c r="BG23" s="17">
        <v>38</v>
      </c>
      <c r="BH23" s="174">
        <v>15</v>
      </c>
      <c r="BI23" s="174">
        <v>37</v>
      </c>
      <c r="BJ23" s="184">
        <v>348</v>
      </c>
      <c r="BK23" s="97" t="str" cm="1">
        <f t="array" aca="1" ref="BK23"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3" s="105" t="s" cm="1">
        <v>195</v>
      </c>
      <c r="BM23" s="105" t="s" cm="1">
        <v>195</v>
      </c>
      <c r="BN23" s="105" t="s" cm="1">
        <v>195</v>
      </c>
      <c r="BO23" s="105" cm="1">
        <v>37</v>
      </c>
      <c r="BP23" s="121" cm="1">
        <v>75</v>
      </c>
      <c r="BQ23" s="119" cm="1">
        <v>90</v>
      </c>
      <c r="BR23" s="119" cm="1">
        <v>108.5</v>
      </c>
      <c r="BS23" s="9" t="str" cm="1">
        <f t="array" aca="1" ref="BS23"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3" s="10" t="str" cm="1">
        <f t="array" aca="1" ref="BT23"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3" s="10" t="str" cm="1">
        <f t="array" aca="1" ref="BU23"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3" s="10" t="str" cm="1">
        <f t="array" aca="1" ref="BV23"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3" s="10" cm="1">
        <f t="array" aca="1" ref="BW23"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0.48648648648648651</v>
      </c>
      <c r="BX23" s="10" cm="1">
        <f t="array" aca="1" ref="BX23"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0.94736842105263153</v>
      </c>
      <c r="BY23" s="10" cm="1">
        <f t="array" aca="1" ref="BY23"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2.2000000000000002</v>
      </c>
      <c r="BZ23" s="10" cm="1">
        <f t="array" aca="1" ref="BZ23"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189.72972972972974</v>
      </c>
      <c r="CA23" s="106" t="str" cm="1">
        <f t="array" aca="1" ref="CA23"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3" s="107" t="str" cm="1">
        <f t="array" aca="1" ref="CB23"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3" s="107" t="str" cm="1">
        <f t="array" aca="1" ref="CC23"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3" s="107" t="str" cm="1">
        <f t="array" aca="1" ref="CD23"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3" s="107" cm="1">
        <f t="array" aca="1" ref="CE23"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0.48648648648648651</v>
      </c>
      <c r="CF23" s="107" cm="1">
        <f t="array" aca="1" ref="CF23"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0.72</v>
      </c>
      <c r="CG23" s="123" cm="1">
        <f t="array" aca="1" ref="CG23"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0.96666666666666667</v>
      </c>
      <c r="CH23" s="123" cm="1">
        <f t="array" aca="1" ref="CH23"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33.152073732718897</v>
      </c>
      <c r="CI23" s="21" t="str" cm="1">
        <f t="array" aca="1" ref="CI23"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3" s="54" t="str" cm="1">
        <f t="array" aca="1" ref="CJ23"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3" s="54" t="str" cm="1">
        <f t="array" aca="1" ref="CK23"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3" s="54" t="str" cm="1">
        <f t="array" aca="1" ref="CL23"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3" s="54" cm="1">
        <f t="array" aca="1" ref="CM23"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5.1724137931034482E-2</v>
      </c>
      <c r="CN23" s="54" cm="1">
        <f t="array" aca="1" ref="CN23"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0.15517241379310345</v>
      </c>
      <c r="CO23" s="115" cm="1">
        <f t="array" aca="1" ref="CO23"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0.25</v>
      </c>
      <c r="CP23" s="55" cm="1">
        <f t="array" aca="1" ref="CP23"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10.336206896551724</v>
      </c>
    </row>
    <row r="24" spans="1:94" ht="57.6" hidden="1" x14ac:dyDescent="0.3">
      <c r="A24" s="2">
        <v>19</v>
      </c>
      <c r="B24" t="str">
        <f>+LEFT(Info_Productos_Cuantitativo[[#This Row],[Producto esperado]],2)</f>
        <v>3.</v>
      </c>
      <c r="C24" s="127" t="s">
        <v>230</v>
      </c>
      <c r="D24" s="127" t="s">
        <v>231</v>
      </c>
      <c r="E24" s="128" t="s">
        <v>13</v>
      </c>
      <c r="F24" s="129">
        <v>0.05</v>
      </c>
      <c r="G24" s="130"/>
      <c r="H24" s="130" t="s">
        <v>25</v>
      </c>
      <c r="I24" s="130" t="s">
        <v>30</v>
      </c>
      <c r="J24" s="133">
        <v>44927</v>
      </c>
      <c r="K24" s="134">
        <v>48579</v>
      </c>
      <c r="L24" s="94" t="str" cm="1">
        <f t="array" ref="L24">+_xlfn.CONCAT("Q",LEFT(LOOKUP(2,1/(Cuantitativo_Productos[[#This Row],[1er Trimestre 2018]:[4o Trimestre 2025]]&lt;&gt;""),Cuantitativo_Productos[[#Headers],[1er Trimestre 2018]:[4o Trimestre 2025]]),1))</f>
        <v>Q2</v>
      </c>
      <c r="M24" s="108" t="str" cm="1">
        <f t="array" ref="M24">+RIGHT(LOOKUP(2,1/(Cuantitativo_Productos[[#This Row],[1er Trimestre 2018]:[4o Trimestre 2025]]&lt;&gt;""),Cuantitativo_Productos[[#Headers],[1er Trimestre 2018]:[4o Trimestre 2025]]),4)</f>
        <v>2025</v>
      </c>
      <c r="N24" s="28"/>
      <c r="O24" s="31"/>
      <c r="P24" s="31"/>
      <c r="Q24" s="32"/>
      <c r="R24" s="28"/>
      <c r="S24" s="31"/>
      <c r="T24" s="31"/>
      <c r="U24" s="32"/>
      <c r="V24" s="28"/>
      <c r="W24" s="31"/>
      <c r="X24" s="31"/>
      <c r="Y24" s="32"/>
      <c r="Z24" s="28"/>
      <c r="AA24" s="31"/>
      <c r="AB24" s="31"/>
      <c r="AC24" s="32"/>
      <c r="AD24" s="28"/>
      <c r="AE24" s="31"/>
      <c r="AF24" s="31"/>
      <c r="AG24" s="32"/>
      <c r="AH24" s="28">
        <v>0.2</v>
      </c>
      <c r="AI24" s="143"/>
      <c r="AJ24" s="31">
        <v>0.75</v>
      </c>
      <c r="AK24" s="32">
        <v>1</v>
      </c>
      <c r="AL24" s="31"/>
      <c r="AM24" s="31"/>
      <c r="AN24" s="31"/>
      <c r="AO24" s="31"/>
      <c r="AP24" s="31"/>
      <c r="AQ24" s="31">
        <f t="shared" si="0"/>
        <v>3510</v>
      </c>
      <c r="AR24" s="31"/>
      <c r="AS24" s="31"/>
      <c r="AT24" s="97" t="str" cm="1">
        <f t="array" aca="1" ref="AT24"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4" s="97" t="str" cm="1">
        <f t="array" aca="1" ref="AU24"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4" s="97" t="str" cm="1">
        <f t="array" aca="1" ref="AV24"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4" s="97" t="str" cm="1">
        <f t="array" aca="1" ref="AW24"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4" s="97" t="str" cm="1">
        <f t="array" aca="1" ref="AX24"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24" s="97" cm="1">
        <f t="array" aca="1" ref="AY24"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1.95</v>
      </c>
      <c r="AZ24" s="97" cm="1">
        <f t="array" aca="1" ref="AZ24"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1.95</v>
      </c>
      <c r="BA24" s="97" cm="1">
        <f t="array" aca="1" ref="BA24"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3511.95</v>
      </c>
      <c r="BB24" s="28"/>
      <c r="BC24" s="31"/>
      <c r="BD24" s="31"/>
      <c r="BE24" s="31"/>
      <c r="BF24" s="16"/>
      <c r="BG24" s="17">
        <v>1</v>
      </c>
      <c r="BH24" s="174"/>
      <c r="BI24" s="174">
        <v>1</v>
      </c>
      <c r="BJ24" s="184">
        <v>7</v>
      </c>
      <c r="BK24" s="97" t="str" cm="1">
        <f t="array" aca="1" ref="BK24"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4" s="105" t="s" cm="1">
        <v>195</v>
      </c>
      <c r="BM24" s="105" t="s" cm="1">
        <v>195</v>
      </c>
      <c r="BN24" s="105" t="s" cm="1">
        <v>195</v>
      </c>
      <c r="BO24" s="105" t="s" cm="1">
        <v>195</v>
      </c>
      <c r="BP24" s="121" cm="1">
        <v>1</v>
      </c>
      <c r="BQ24" s="119" cm="1">
        <v>1</v>
      </c>
      <c r="BR24" s="119" cm="1">
        <v>1.5</v>
      </c>
      <c r="BS24" s="9" t="str" cm="1">
        <f t="array" aca="1" ref="BS24"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4" s="10" t="str" cm="1">
        <f t="array" aca="1" ref="BT24"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4" s="10" t="str" cm="1">
        <f t="array" aca="1" ref="BU24"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4" s="10" t="str" cm="1">
        <f t="array" aca="1" ref="BV24"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4" s="10" t="str" cm="1">
        <f t="array" aca="1" ref="BW24"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24" s="10" cm="1">
        <f t="array" aca="1" ref="BX24"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1.95</v>
      </c>
      <c r="BY24" s="10" t="str" cm="1">
        <f t="array" aca="1" ref="BY24"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
      </c>
      <c r="BZ24" s="10" cm="1">
        <f t="array" aca="1" ref="BZ24"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7020</v>
      </c>
      <c r="CA24" s="106" t="str" cm="1">
        <f t="array" aca="1" ref="CA24"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4" s="107" t="str" cm="1">
        <f t="array" aca="1" ref="CB24"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4" s="107" t="str" cm="1">
        <f t="array" aca="1" ref="CC24"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4" s="107" t="str" cm="1">
        <f t="array" aca="1" ref="CD24"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4" s="107" t="str" cm="1">
        <f t="array" aca="1" ref="CE24"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24" s="107" cm="1">
        <f t="array" aca="1" ref="CF24"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1.95</v>
      </c>
      <c r="CG24" s="123" cm="1">
        <f t="array" aca="1" ref="CG24"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1.95</v>
      </c>
      <c r="CH24" s="123" cm="1">
        <f t="array" aca="1" ref="CH24"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2341.2999999999997</v>
      </c>
      <c r="CI24" s="21" t="str" cm="1">
        <f t="array" aca="1" ref="CI24"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4" s="54" t="str" cm="1">
        <f t="array" aca="1" ref="CJ24"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4" s="54" t="str" cm="1">
        <f t="array" aca="1" ref="CK24"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4" s="54" t="str" cm="1">
        <f t="array" aca="1" ref="CL24"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4" s="54" t="str" cm="1">
        <f t="array" aca="1" ref="CM24"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24" s="54" cm="1">
        <f t="array" aca="1" ref="CN24"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0.27857142857142858</v>
      </c>
      <c r="CO24" s="115" cm="1">
        <f t="array" aca="1" ref="CO24"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0.27857142857142858</v>
      </c>
      <c r="CP24" s="55" cm="1">
        <f t="array" aca="1" ref="CP24"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501.70714285714286</v>
      </c>
    </row>
    <row r="25" spans="1:94" ht="28.8" hidden="1" x14ac:dyDescent="0.3">
      <c r="A25" s="2">
        <v>20</v>
      </c>
      <c r="B25" t="str">
        <f>+LEFT(Info_Productos_Cuantitativo[[#This Row],[Producto esperado]],2)</f>
        <v>3.</v>
      </c>
      <c r="C25" s="127" t="s">
        <v>232</v>
      </c>
      <c r="D25" s="127" t="s">
        <v>233</v>
      </c>
      <c r="E25" s="128" t="s">
        <v>53</v>
      </c>
      <c r="F25" s="129">
        <v>0.05</v>
      </c>
      <c r="G25" s="130">
        <v>1</v>
      </c>
      <c r="H25" s="130" t="s">
        <v>20</v>
      </c>
      <c r="I25" s="130" t="s">
        <v>30</v>
      </c>
      <c r="J25" s="133">
        <v>44927</v>
      </c>
      <c r="K25" s="134">
        <v>48579</v>
      </c>
      <c r="L25" s="94" t="str" cm="1">
        <f t="array" ref="L25">+_xlfn.CONCAT("Q",LEFT(LOOKUP(2,1/(Cuantitativo_Productos[[#This Row],[1er Trimestre 2018]:[4o Trimestre 2025]]&lt;&gt;""),Cuantitativo_Productos[[#Headers],[1er Trimestre 2018]:[4o Trimestre 2025]]),1))</f>
        <v>Q2</v>
      </c>
      <c r="M25" s="108" t="str" cm="1">
        <f t="array" ref="M25">+RIGHT(LOOKUP(2,1/(Cuantitativo_Productos[[#This Row],[1er Trimestre 2018]:[4o Trimestre 2025]]&lt;&gt;""),Cuantitativo_Productos[[#Headers],[1er Trimestre 2018]:[4o Trimestre 2025]]),4)</f>
        <v>2025</v>
      </c>
      <c r="N25" s="28"/>
      <c r="O25" s="31"/>
      <c r="P25" s="31"/>
      <c r="Q25" s="32"/>
      <c r="R25" s="28"/>
      <c r="S25" s="31"/>
      <c r="T25" s="31"/>
      <c r="U25" s="32"/>
      <c r="V25" s="28"/>
      <c r="W25" s="31"/>
      <c r="X25" s="31"/>
      <c r="Y25" s="32"/>
      <c r="Z25" s="28"/>
      <c r="AA25" s="31"/>
      <c r="AB25" s="31"/>
      <c r="AC25" s="32"/>
      <c r="AD25" s="28"/>
      <c r="AE25" s="31"/>
      <c r="AF25" s="31"/>
      <c r="AG25" s="32"/>
      <c r="AH25" s="160">
        <v>0.5</v>
      </c>
      <c r="AI25" s="140"/>
      <c r="AJ25" s="141">
        <v>1</v>
      </c>
      <c r="AK25" s="33">
        <v>1</v>
      </c>
      <c r="AL25" s="35"/>
      <c r="AM25" s="35">
        <v>1</v>
      </c>
      <c r="AN25" s="35"/>
      <c r="AO25" s="35">
        <v>1</v>
      </c>
      <c r="AP25" s="35"/>
      <c r="AQ25" s="189">
        <f t="shared" si="0"/>
        <v>3510</v>
      </c>
      <c r="AR25" s="35"/>
      <c r="AS25" s="35"/>
      <c r="AT25" s="98" t="str" cm="1">
        <f t="array" aca="1" ref="AT25"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5" s="98" t="str" cm="1">
        <f t="array" aca="1" ref="AU25"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5" s="98" t="str" cm="1">
        <f t="array" aca="1" ref="AV25"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5" s="98" t="str" cm="1">
        <f t="array" aca="1" ref="AW25"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5" s="98" t="str" cm="1">
        <f t="array" aca="1" ref="AX25"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25" s="98" cm="1">
        <f t="array" aca="1" ref="AY25"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v>
      </c>
      <c r="AZ25" s="98" cm="1">
        <f t="array" aca="1" ref="AZ25"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v>
      </c>
      <c r="BA25" s="98" cm="1">
        <f t="array" aca="1" ref="BA25"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v>
      </c>
      <c r="BB25" s="28"/>
      <c r="BC25" s="31"/>
      <c r="BD25" s="31"/>
      <c r="BE25" s="31"/>
      <c r="BF25" s="16"/>
      <c r="BG25" s="142">
        <v>1</v>
      </c>
      <c r="BH25" s="177">
        <v>1</v>
      </c>
      <c r="BI25" s="177">
        <v>1</v>
      </c>
      <c r="BJ25" s="171">
        <v>1</v>
      </c>
      <c r="BK25" s="101" t="str" cm="1">
        <f t="array" aca="1" ref="BK25"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5" s="102" t="s" cm="1">
        <v>195</v>
      </c>
      <c r="BM25" s="102" t="s" cm="1">
        <v>195</v>
      </c>
      <c r="BN25" s="102" t="s" cm="1">
        <v>195</v>
      </c>
      <c r="BO25" s="102" t="s" cm="1">
        <v>195</v>
      </c>
      <c r="BP25" s="103" cm="1">
        <v>1</v>
      </c>
      <c r="BQ25" s="112" cm="1">
        <v>1</v>
      </c>
      <c r="BR25" s="112" cm="1">
        <v>1</v>
      </c>
      <c r="BS25" s="9" t="str" cm="1">
        <f t="array" aca="1" ref="BS25"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5" s="10" t="str" cm="1">
        <f t="array" aca="1" ref="BT25"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5" s="10" t="str" cm="1">
        <f t="array" aca="1" ref="BU25"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5" s="10" t="str" cm="1">
        <f t="array" aca="1" ref="BV25"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5" s="10" t="str" cm="1">
        <f t="array" aca="1" ref="BW25"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25" s="10" cm="1">
        <f t="array" aca="1" ref="BX25"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v>
      </c>
      <c r="BY25" s="10" cm="1">
        <f t="array" aca="1" ref="BY25"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25" s="10" cm="1">
        <f t="array" aca="1" ref="BZ25"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3510</v>
      </c>
      <c r="CA25" s="106" t="str" cm="1">
        <f t="array" aca="1" ref="CA25"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5" s="107" t="str" cm="1">
        <f t="array" aca="1" ref="CB25"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5" s="107" t="str" cm="1">
        <f t="array" aca="1" ref="CC25"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5" s="107" t="str" cm="1">
        <f t="array" aca="1" ref="CD25"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5" s="107" t="str" cm="1">
        <f t="array" aca="1" ref="CE25"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25" s="107" cm="1">
        <f t="array" aca="1" ref="CF25"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v>
      </c>
      <c r="CG25" s="123" cm="1">
        <f t="array" aca="1" ref="CG25"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25" s="123" cm="1">
        <f t="array" aca="1" ref="CH25"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3510</v>
      </c>
      <c r="CI25" s="21" t="str" cm="1">
        <f t="array" aca="1" ref="CI25"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5" s="54" t="str" cm="1">
        <f t="array" aca="1" ref="CJ25"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5" s="54" t="str" cm="1">
        <f t="array" aca="1" ref="CK25"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5" s="54" t="str" cm="1">
        <f t="array" aca="1" ref="CL25"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5" s="54" t="str" cm="1">
        <f t="array" aca="1" ref="CM25"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25" s="54" cm="1">
        <f t="array" aca="1" ref="CN25"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1</v>
      </c>
      <c r="CO25" s="115" cm="1">
        <f t="array" aca="1" ref="CO25"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1</v>
      </c>
      <c r="CP25" s="55" cm="1">
        <f t="array" aca="1" ref="CP25"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3510</v>
      </c>
    </row>
    <row r="26" spans="1:94" ht="72" hidden="1" x14ac:dyDescent="0.3">
      <c r="A26" s="2">
        <v>21</v>
      </c>
      <c r="B26" t="str">
        <f>+LEFT(Info_Productos_Cuantitativo[[#This Row],[Producto esperado]],2)</f>
        <v>3.</v>
      </c>
      <c r="C26" s="127" t="s">
        <v>234</v>
      </c>
      <c r="D26" s="127" t="s">
        <v>235</v>
      </c>
      <c r="E26" s="128" t="s">
        <v>13</v>
      </c>
      <c r="F26" s="129">
        <v>0.05</v>
      </c>
      <c r="G26" s="130">
        <v>10</v>
      </c>
      <c r="H26" s="130" t="s">
        <v>25</v>
      </c>
      <c r="I26" s="130" t="s">
        <v>30</v>
      </c>
      <c r="J26" s="133">
        <v>44577</v>
      </c>
      <c r="K26" s="134">
        <v>46022</v>
      </c>
      <c r="L26" s="94" t="str" cm="1">
        <f t="array" ref="L26">+_xlfn.CONCAT("Q",LEFT(LOOKUP(2,1/(Cuantitativo_Productos[[#This Row],[1er Trimestre 2018]:[4o Trimestre 2025]]&lt;&gt;""),Cuantitativo_Productos[[#Headers],[1er Trimestre 2018]:[4o Trimestre 2025]]),1))</f>
        <v>Q2</v>
      </c>
      <c r="M26" s="108" t="str" cm="1">
        <f t="array" ref="M26">+RIGHT(LOOKUP(2,1/(Cuantitativo_Productos[[#This Row],[1er Trimestre 2018]:[4o Trimestre 2025]]&lt;&gt;""),Cuantitativo_Productos[[#Headers],[1er Trimestre 2018]:[4o Trimestre 2025]]),4)</f>
        <v>2025</v>
      </c>
      <c r="N26" s="28"/>
      <c r="O26" s="31"/>
      <c r="P26" s="31"/>
      <c r="Q26" s="32"/>
      <c r="R26" s="28"/>
      <c r="S26" s="31"/>
      <c r="T26" s="31"/>
      <c r="U26" s="32"/>
      <c r="V26" s="28"/>
      <c r="W26" s="31"/>
      <c r="X26" s="31"/>
      <c r="Y26" s="32"/>
      <c r="Z26" s="28"/>
      <c r="AA26" s="31"/>
      <c r="AB26" s="31"/>
      <c r="AC26" s="32"/>
      <c r="AD26" s="28"/>
      <c r="AE26" s="31"/>
      <c r="AF26" s="31"/>
      <c r="AG26" s="145">
        <v>45</v>
      </c>
      <c r="AH26" s="156">
        <v>8</v>
      </c>
      <c r="AI26" s="143"/>
      <c r="AJ26" s="31"/>
      <c r="AK26" s="32"/>
      <c r="AL26" s="31"/>
      <c r="AM26" s="31">
        <v>25</v>
      </c>
      <c r="AN26" s="31"/>
      <c r="AO26" s="31">
        <v>0</v>
      </c>
      <c r="AP26" s="31"/>
      <c r="AQ26" s="31">
        <f t="shared" si="0"/>
        <v>3510</v>
      </c>
      <c r="AR26" s="31"/>
      <c r="AS26" s="31"/>
      <c r="AT26" s="97" t="str" cm="1">
        <f t="array" aca="1" ref="AT26"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6" s="97" t="str" cm="1">
        <f t="array" aca="1" ref="AU26"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6" s="97" t="str" cm="1">
        <f t="array" aca="1" ref="AV26"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6" s="97" t="str" cm="1">
        <f t="array" aca="1" ref="AW26"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6" s="97" cm="1">
        <f t="array" aca="1" ref="AX26"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45</v>
      </c>
      <c r="AY26" s="97" cm="1">
        <f t="array" aca="1" ref="AY26"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53</v>
      </c>
      <c r="AZ26" s="97" cm="1">
        <f t="array" aca="1" ref="AZ26"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78</v>
      </c>
      <c r="BA26" s="97" cm="1">
        <f t="array" aca="1" ref="BA26"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3588</v>
      </c>
      <c r="BB26" s="28"/>
      <c r="BC26" s="31"/>
      <c r="BD26" s="31"/>
      <c r="BE26" s="31"/>
      <c r="BF26" s="16">
        <v>10</v>
      </c>
      <c r="BG26" s="17">
        <v>20</v>
      </c>
      <c r="BH26" s="178">
        <v>20</v>
      </c>
      <c r="BI26" s="178">
        <v>160</v>
      </c>
      <c r="BJ26" s="184">
        <v>210</v>
      </c>
      <c r="BK26" s="97" t="str" cm="1">
        <f t="array" aca="1" ref="BK26"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6" s="105" t="s" cm="1">
        <v>195</v>
      </c>
      <c r="BM26" s="105" t="s" cm="1">
        <v>195</v>
      </c>
      <c r="BN26" s="105" t="s" cm="1">
        <v>195</v>
      </c>
      <c r="BO26" s="105" cm="1">
        <v>10</v>
      </c>
      <c r="BP26" s="121" cm="1">
        <v>15</v>
      </c>
      <c r="BQ26" s="119" cm="1">
        <v>50</v>
      </c>
      <c r="BR26" s="119" cm="1">
        <v>130</v>
      </c>
      <c r="BS26" s="9" t="str" cm="1">
        <f t="array" aca="1" ref="BS26"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6" s="10" t="str" cm="1">
        <f t="array" aca="1" ref="BT26"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6" s="10" t="str" cm="1">
        <f t="array" aca="1" ref="BU26"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6" s="10" t="str" cm="1">
        <f t="array" aca="1" ref="BV26"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6" s="10" cm="1">
        <f t="array" aca="1" ref="BW26"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4.5</v>
      </c>
      <c r="BX26" s="10" cm="1">
        <f t="array" aca="1" ref="BX26"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1.6</v>
      </c>
      <c r="BY26" s="10" cm="1">
        <f t="array" aca="1" ref="BY26"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0.7142857142857143</v>
      </c>
      <c r="BZ26" s="10" cm="1">
        <f t="array" aca="1" ref="BZ26"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43.875</v>
      </c>
      <c r="CA26" s="106" t="str" cm="1">
        <f t="array" aca="1" ref="CA26"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6" s="107" t="str" cm="1">
        <f t="array" aca="1" ref="CB26"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6" s="107" t="str" cm="1">
        <f t="array" aca="1" ref="CC26"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6" s="107" t="str" cm="1">
        <f t="array" aca="1" ref="CD26"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6" s="107" cm="1">
        <f t="array" aca="1" ref="CE26"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4.5</v>
      </c>
      <c r="CF26" s="107" cm="1">
        <f t="array" aca="1" ref="CF26"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3.5333333333333332</v>
      </c>
      <c r="CG26" s="123" cm="1">
        <f t="array" aca="1" ref="CG26"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1.56</v>
      </c>
      <c r="CH26" s="123" cm="1">
        <f t="array" aca="1" ref="CH26"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27.6</v>
      </c>
      <c r="CI26" s="21" t="str" cm="1">
        <f t="array" aca="1" ref="CI26"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6" s="54" t="str" cm="1">
        <f t="array" aca="1" ref="CJ26"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6" s="54" t="str" cm="1">
        <f t="array" aca="1" ref="CK26"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6" s="54" t="str" cm="1">
        <f t="array" aca="1" ref="CL26"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6" s="54" cm="1">
        <f t="array" aca="1" ref="CM26"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0.21428571428571427</v>
      </c>
      <c r="CN26" s="54" cm="1">
        <f t="array" aca="1" ref="CN26"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0.25238095238095237</v>
      </c>
      <c r="CO26" s="115" cm="1">
        <f t="array" aca="1" ref="CO26"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0.37142857142857144</v>
      </c>
      <c r="CP26" s="55" cm="1">
        <f t="array" aca="1" ref="CP26"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17.085714285714285</v>
      </c>
    </row>
    <row r="27" spans="1:94" ht="43.2" hidden="1" x14ac:dyDescent="0.3">
      <c r="A27" s="2">
        <v>22</v>
      </c>
      <c r="B27" t="str">
        <f>+LEFT(Info_Productos_Cuantitativo[[#This Row],[Producto esperado]],2)</f>
        <v>4.</v>
      </c>
      <c r="C27" s="127" t="s">
        <v>236</v>
      </c>
      <c r="D27" s="127" t="s">
        <v>237</v>
      </c>
      <c r="E27" s="128" t="s">
        <v>13</v>
      </c>
      <c r="F27" s="129">
        <v>0.05</v>
      </c>
      <c r="G27" s="130"/>
      <c r="H27" s="130" t="s">
        <v>25</v>
      </c>
      <c r="I27" s="130" t="s">
        <v>26</v>
      </c>
      <c r="J27" s="133">
        <v>44866</v>
      </c>
      <c r="K27" s="134">
        <v>46022</v>
      </c>
      <c r="L27" s="94" t="str" cm="1">
        <f t="array" ref="L27">+_xlfn.CONCAT("Q",LEFT(LOOKUP(2,1/(Cuantitativo_Productos[[#This Row],[1er Trimestre 2018]:[4o Trimestre 2025]]&lt;&gt;""),Cuantitativo_Productos[[#Headers],[1er Trimestre 2018]:[4o Trimestre 2025]]),1))</f>
        <v>Q2</v>
      </c>
      <c r="M27" s="108" t="str" cm="1">
        <f t="array" ref="M27">+RIGHT(LOOKUP(2,1/(Cuantitativo_Productos[[#This Row],[1er Trimestre 2018]:[4o Trimestre 2025]]&lt;&gt;""),Cuantitativo_Productos[[#Headers],[1er Trimestre 2018]:[4o Trimestre 2025]]),4)</f>
        <v>2025</v>
      </c>
      <c r="N27" s="28"/>
      <c r="O27" s="31"/>
      <c r="P27" s="31"/>
      <c r="Q27" s="32"/>
      <c r="R27" s="28"/>
      <c r="S27" s="31"/>
      <c r="T27" s="31"/>
      <c r="U27" s="32"/>
      <c r="V27" s="28"/>
      <c r="W27" s="31"/>
      <c r="X27" s="31"/>
      <c r="Y27" s="32"/>
      <c r="Z27" s="28"/>
      <c r="AA27" s="31"/>
      <c r="AB27" s="31"/>
      <c r="AC27" s="32"/>
      <c r="AD27" s="28"/>
      <c r="AE27" s="31"/>
      <c r="AF27" s="31"/>
      <c r="AG27" s="145">
        <v>8</v>
      </c>
      <c r="AH27" s="157">
        <v>10</v>
      </c>
      <c r="AI27" s="146">
        <v>24</v>
      </c>
      <c r="AJ27" s="144"/>
      <c r="AK27" s="152">
        <v>12</v>
      </c>
      <c r="AL27" s="31"/>
      <c r="AM27" s="31">
        <v>17</v>
      </c>
      <c r="AN27" s="31"/>
      <c r="AO27" s="31">
        <v>7</v>
      </c>
      <c r="AP27" s="31"/>
      <c r="AQ27" s="31">
        <f t="shared" si="0"/>
        <v>3510</v>
      </c>
      <c r="AR27" s="31"/>
      <c r="AS27" s="31"/>
      <c r="AT27" s="97" t="str" cm="1">
        <f t="array" aca="1" ref="AT27"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7" s="97" t="str" cm="1">
        <f t="array" aca="1" ref="AU27"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7" s="97" t="str" cm="1">
        <f t="array" aca="1" ref="AV27"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7" s="97" t="str" cm="1">
        <f t="array" aca="1" ref="AW27"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7" s="97" cm="1">
        <f t="array" aca="1" ref="AX27"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8</v>
      </c>
      <c r="AY27" s="97" cm="1">
        <f t="array" aca="1" ref="AY27"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54</v>
      </c>
      <c r="AZ27" s="97" cm="1">
        <f t="array" aca="1" ref="AZ27"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78</v>
      </c>
      <c r="BA27" s="97" cm="1">
        <f t="array" aca="1" ref="BA27"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3588</v>
      </c>
      <c r="BB27" s="28"/>
      <c r="BC27" s="31"/>
      <c r="BD27" s="31"/>
      <c r="BE27" s="31"/>
      <c r="BF27" s="16">
        <v>2</v>
      </c>
      <c r="BG27" s="17">
        <v>2</v>
      </c>
      <c r="BH27" s="174">
        <v>2</v>
      </c>
      <c r="BI27" s="174">
        <v>2</v>
      </c>
      <c r="BJ27" s="184">
        <v>8</v>
      </c>
      <c r="BK27" s="97" t="str" cm="1">
        <f t="array" aca="1" ref="BK27"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7" s="105" t="s" cm="1">
        <v>195</v>
      </c>
      <c r="BM27" s="105" t="s" cm="1">
        <v>195</v>
      </c>
      <c r="BN27" s="105" t="s" cm="1">
        <v>195</v>
      </c>
      <c r="BO27" s="105" cm="1">
        <v>2</v>
      </c>
      <c r="BP27" s="121" cm="1">
        <v>4</v>
      </c>
      <c r="BQ27" s="119" cm="1">
        <v>6</v>
      </c>
      <c r="BR27" s="119" cm="1">
        <v>7</v>
      </c>
      <c r="BS27" s="9" t="str" cm="1">
        <f t="array" aca="1" ref="BS27"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7" s="10" t="str" cm="1">
        <f t="array" aca="1" ref="BT27"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7" s="10" t="str" cm="1">
        <f t="array" aca="1" ref="BU27"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7" s="10" t="str" cm="1">
        <f t="array" aca="1" ref="BV27"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7" s="10" cm="1">
        <f t="array" aca="1" ref="BW27"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4</v>
      </c>
      <c r="BX27" s="10" cm="1">
        <f t="array" aca="1" ref="BX27"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23</v>
      </c>
      <c r="BY27" s="10" cm="1">
        <f t="array" aca="1" ref="BY27"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12</v>
      </c>
      <c r="BZ27" s="10" cm="1">
        <f t="array" aca="1" ref="BZ27"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3510</v>
      </c>
      <c r="CA27" s="106" t="str" cm="1">
        <f t="array" aca="1" ref="CA27"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7" s="107" t="str" cm="1">
        <f t="array" aca="1" ref="CB27"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7" s="107" t="str" cm="1">
        <f t="array" aca="1" ref="CC27"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7" s="107" t="str" cm="1">
        <f t="array" aca="1" ref="CD27"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7" s="107" cm="1">
        <f t="array" aca="1" ref="CE27"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4</v>
      </c>
      <c r="CF27" s="107" cm="1">
        <f t="array" aca="1" ref="CF27"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13.5</v>
      </c>
      <c r="CG27" s="123" cm="1">
        <f t="array" aca="1" ref="CG27"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13</v>
      </c>
      <c r="CH27" s="123" cm="1">
        <f t="array" aca="1" ref="CH27"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512.57142857142856</v>
      </c>
      <c r="CI27" s="21" t="str" cm="1">
        <f t="array" aca="1" ref="CI27"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7" s="54" t="str" cm="1">
        <f t="array" aca="1" ref="CJ27"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7" s="54" t="str" cm="1">
        <f t="array" aca="1" ref="CK27"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7" s="54" t="str" cm="1">
        <f t="array" aca="1" ref="CL27"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7" s="54" cm="1">
        <f t="array" aca="1" ref="CM27"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1</v>
      </c>
      <c r="CN27" s="54" cm="1">
        <f t="array" aca="1" ref="CN27"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6.75</v>
      </c>
      <c r="CO27" s="115" cm="1">
        <f t="array" aca="1" ref="CO27"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9.75</v>
      </c>
      <c r="CP27" s="55" cm="1">
        <f t="array" aca="1" ref="CP27"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448.5</v>
      </c>
    </row>
    <row r="28" spans="1:94" ht="43.2" hidden="1" x14ac:dyDescent="0.3">
      <c r="A28" s="2">
        <v>23</v>
      </c>
      <c r="B28" t="str">
        <f>+LEFT(Info_Productos_Cuantitativo[[#This Row],[Producto esperado]],2)</f>
        <v>4.</v>
      </c>
      <c r="C28" s="127" t="s">
        <v>238</v>
      </c>
      <c r="D28" s="127" t="s">
        <v>239</v>
      </c>
      <c r="E28" s="128" t="s">
        <v>13</v>
      </c>
      <c r="F28" s="129">
        <v>0.05</v>
      </c>
      <c r="G28" s="130"/>
      <c r="H28" s="130" t="s">
        <v>25</v>
      </c>
      <c r="I28" s="130" t="s">
        <v>30</v>
      </c>
      <c r="J28" s="133">
        <v>45078</v>
      </c>
      <c r="K28" s="134">
        <v>48579</v>
      </c>
      <c r="L28" s="94" t="str" cm="1">
        <f t="array" ref="L28">+_xlfn.CONCAT("Q",LEFT(LOOKUP(2,1/(Cuantitativo_Productos[[#This Row],[1er Trimestre 2018]:[4o Trimestre 2025]]&lt;&gt;""),Cuantitativo_Productos[[#Headers],[1er Trimestre 2018]:[4o Trimestre 2025]]),1))</f>
        <v>Q2</v>
      </c>
      <c r="M28" s="108" t="str" cm="1">
        <f t="array" ref="M28">+RIGHT(LOOKUP(2,1/(Cuantitativo_Productos[[#This Row],[1er Trimestre 2018]:[4o Trimestre 2025]]&lt;&gt;""),Cuantitativo_Productos[[#Headers],[1er Trimestre 2018]:[4o Trimestre 2025]]),4)</f>
        <v>2025</v>
      </c>
      <c r="N28" s="28"/>
      <c r="O28" s="31"/>
      <c r="P28" s="31"/>
      <c r="Q28" s="32"/>
      <c r="R28" s="28"/>
      <c r="S28" s="31"/>
      <c r="T28" s="31"/>
      <c r="U28" s="32"/>
      <c r="V28" s="28"/>
      <c r="W28" s="31"/>
      <c r="X28" s="31"/>
      <c r="Y28" s="32"/>
      <c r="Z28" s="28"/>
      <c r="AA28" s="31"/>
      <c r="AB28" s="31"/>
      <c r="AC28" s="32"/>
      <c r="AD28" s="28"/>
      <c r="AE28" s="31"/>
      <c r="AF28" s="31"/>
      <c r="AG28" s="32"/>
      <c r="AH28" s="28"/>
      <c r="AI28" s="143"/>
      <c r="AJ28" s="31"/>
      <c r="AK28" s="162">
        <v>1</v>
      </c>
      <c r="AL28" s="31"/>
      <c r="AM28" s="31">
        <v>1</v>
      </c>
      <c r="AN28" s="31"/>
      <c r="AO28" s="159">
        <v>0</v>
      </c>
      <c r="AP28" s="31"/>
      <c r="AQ28" s="31">
        <f t="shared" si="0"/>
        <v>3510</v>
      </c>
      <c r="AR28" s="31"/>
      <c r="AS28" s="31"/>
      <c r="AT28" s="97" t="str" cm="1">
        <f t="array" aca="1" ref="AT28"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8" s="97" t="str" cm="1">
        <f t="array" aca="1" ref="AU28"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8" s="97" t="str" cm="1">
        <f t="array" aca="1" ref="AV28"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8" s="97" t="str" cm="1">
        <f t="array" aca="1" ref="AW28"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8" s="97" t="str" cm="1">
        <f t="array" aca="1" ref="AX28"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28" s="97" cm="1">
        <f t="array" aca="1" ref="AY28"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v>
      </c>
      <c r="AZ28" s="97" cm="1">
        <f t="array" aca="1" ref="AZ28"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2</v>
      </c>
      <c r="BA28" s="97" cm="1">
        <f t="array" aca="1" ref="BA28"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3512</v>
      </c>
      <c r="BB28" s="28"/>
      <c r="BC28" s="31"/>
      <c r="BD28" s="31"/>
      <c r="BE28" s="31"/>
      <c r="BF28" s="16"/>
      <c r="BG28" s="17">
        <v>1</v>
      </c>
      <c r="BH28" s="174">
        <v>1</v>
      </c>
      <c r="BI28" s="174">
        <v>1</v>
      </c>
      <c r="BJ28" s="184">
        <v>10</v>
      </c>
      <c r="BK28" s="97" t="str" cm="1">
        <f t="array" aca="1" ref="BK28"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8" s="105" t="s" cm="1">
        <v>195</v>
      </c>
      <c r="BM28" s="105" t="s" cm="1">
        <v>195</v>
      </c>
      <c r="BN28" s="105" t="s" cm="1">
        <v>195</v>
      </c>
      <c r="BO28" s="105" t="s" cm="1">
        <v>195</v>
      </c>
      <c r="BP28" s="121" cm="1">
        <v>1</v>
      </c>
      <c r="BQ28" s="119" cm="1">
        <v>2</v>
      </c>
      <c r="BR28" s="119" cm="1">
        <v>2.5</v>
      </c>
      <c r="BS28" s="9" t="str" cm="1">
        <f t="array" aca="1" ref="BS28"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8" s="10" t="str" cm="1">
        <f t="array" aca="1" ref="BT28"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8" s="10" t="str" cm="1">
        <f t="array" aca="1" ref="BU28"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8" s="10" t="str" cm="1">
        <f t="array" aca="1" ref="BV28"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8" s="10" t="str" cm="1">
        <f t="array" aca="1" ref="BW28"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28" s="10" cm="1">
        <f t="array" aca="1" ref="BX28"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v>
      </c>
      <c r="BY28" s="10" cm="1">
        <f t="array" aca="1" ref="BY28"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28" s="10" cm="1">
        <f t="array" aca="1" ref="BZ28"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7020</v>
      </c>
      <c r="CA28" s="106" t="str" cm="1">
        <f t="array" aca="1" ref="CA28"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8" s="107" t="str" cm="1">
        <f t="array" aca="1" ref="CB28"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8" s="107" t="str" cm="1">
        <f t="array" aca="1" ref="CC28"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8" s="107" t="str" cm="1">
        <f t="array" aca="1" ref="CD28"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8" s="107" t="str" cm="1">
        <f t="array" aca="1" ref="CE28"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28" s="107" cm="1">
        <f t="array" aca="1" ref="CF28"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v>
      </c>
      <c r="CG28" s="123" cm="1">
        <f t="array" aca="1" ref="CG28"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28" s="123" cm="1">
        <f t="array" aca="1" ref="CH28"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1404.8</v>
      </c>
      <c r="CI28" s="21" t="str" cm="1">
        <f t="array" aca="1" ref="CI28"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8" s="54" t="str" cm="1">
        <f t="array" aca="1" ref="CJ28"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8" s="54" t="str" cm="1">
        <f t="array" aca="1" ref="CK28"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8" s="54" t="str" cm="1">
        <f t="array" aca="1" ref="CL28"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8" s="54" t="str" cm="1">
        <f t="array" aca="1" ref="CM28"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28" s="54" cm="1">
        <f t="array" aca="1" ref="CN28"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v>
      </c>
      <c r="CO28" s="115" cm="1">
        <f t="array" aca="1" ref="CO28"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v>
      </c>
      <c r="CP28" s="55" cm="1">
        <f t="array" aca="1" ref="CP28"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351.2</v>
      </c>
    </row>
    <row r="29" spans="1:94" ht="86.4" hidden="1" x14ac:dyDescent="0.3">
      <c r="A29" s="2">
        <v>24</v>
      </c>
      <c r="B29" t="str">
        <f>+LEFT(Info_Productos_Cuantitativo[[#This Row],[Producto esperado]],2)</f>
        <v>4.</v>
      </c>
      <c r="C29" s="127" t="s">
        <v>240</v>
      </c>
      <c r="D29" s="127" t="s">
        <v>241</v>
      </c>
      <c r="E29" s="128" t="s">
        <v>34</v>
      </c>
      <c r="F29" s="129">
        <v>0.03</v>
      </c>
      <c r="G29" s="130"/>
      <c r="H29" s="130" t="s">
        <v>20</v>
      </c>
      <c r="I29" s="130" t="s">
        <v>21</v>
      </c>
      <c r="J29" s="133">
        <v>44927</v>
      </c>
      <c r="K29" s="134">
        <v>48579</v>
      </c>
      <c r="L29" s="94" t="str" cm="1">
        <f t="array" ref="L29">+_xlfn.CONCAT("Q",LEFT(LOOKUP(2,1/(Cuantitativo_Productos[[#This Row],[1er Trimestre 2018]:[4o Trimestre 2025]]&lt;&gt;""),Cuantitativo_Productos[[#Headers],[1er Trimestre 2018]:[4o Trimestre 2025]]),1))</f>
        <v>Q2</v>
      </c>
      <c r="M29" s="108" t="str" cm="1">
        <f t="array" ref="M29">+RIGHT(LOOKUP(2,1/(Cuantitativo_Productos[[#This Row],[1er Trimestre 2018]:[4o Trimestre 2025]]&lt;&gt;""),Cuantitativo_Productos[[#Headers],[1er Trimestre 2018]:[4o Trimestre 2025]]),4)</f>
        <v>2025</v>
      </c>
      <c r="N29" s="28"/>
      <c r="O29" s="31"/>
      <c r="P29" s="31"/>
      <c r="Q29" s="32"/>
      <c r="R29" s="28"/>
      <c r="S29" s="31"/>
      <c r="T29" s="31"/>
      <c r="U29" s="32"/>
      <c r="V29" s="28"/>
      <c r="W29" s="31"/>
      <c r="X29" s="31"/>
      <c r="Y29" s="32"/>
      <c r="Z29" s="28"/>
      <c r="AA29" s="31"/>
      <c r="AB29" s="31"/>
      <c r="AC29" s="32"/>
      <c r="AD29" s="28"/>
      <c r="AE29" s="31"/>
      <c r="AF29" s="31"/>
      <c r="AG29" s="32"/>
      <c r="AH29" s="160">
        <v>0.5</v>
      </c>
      <c r="AI29" s="140">
        <v>0.5</v>
      </c>
      <c r="AJ29" s="161">
        <v>1</v>
      </c>
      <c r="AK29" s="33">
        <v>0.9</v>
      </c>
      <c r="AL29" s="185">
        <v>0.7</v>
      </c>
      <c r="AM29" s="185">
        <v>0.7</v>
      </c>
      <c r="AN29" s="35"/>
      <c r="AO29" s="35">
        <v>1</v>
      </c>
      <c r="AP29" s="31"/>
      <c r="AQ29" s="31">
        <f t="shared" si="0"/>
        <v>3510</v>
      </c>
      <c r="AR29" s="31"/>
      <c r="AS29" s="31"/>
      <c r="AT29" s="97" t="str" cm="1">
        <f t="array" aca="1" ref="AT29"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29" s="97" t="str" cm="1">
        <f t="array" aca="1" ref="AU29"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29" s="97" t="str" cm="1">
        <f t="array" aca="1" ref="AV29"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29" s="97" t="str" cm="1">
        <f t="array" aca="1" ref="AW29"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29" s="98" t="str" cm="1">
        <f t="array" aca="1" ref="AX29"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29" s="98" cm="1">
        <f t="array" aca="1" ref="AY29"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0.9</v>
      </c>
      <c r="AZ29" s="98" cm="1">
        <f t="array" aca="1" ref="AZ29"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v>
      </c>
      <c r="BA29" s="98" cm="1">
        <f t="array" aca="1" ref="BA29"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v>
      </c>
      <c r="BB29" s="28"/>
      <c r="BC29" s="31"/>
      <c r="BD29" s="31"/>
      <c r="BE29" s="31"/>
      <c r="BF29" s="16"/>
      <c r="BG29" s="142">
        <v>1</v>
      </c>
      <c r="BH29" s="177">
        <v>1</v>
      </c>
      <c r="BI29" s="177">
        <v>1</v>
      </c>
      <c r="BJ29" s="171">
        <v>1</v>
      </c>
      <c r="BK29" s="101" t="str" cm="1">
        <f t="array" aca="1" ref="BK29"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29" s="102" t="s" cm="1">
        <v>195</v>
      </c>
      <c r="BM29" s="102" t="s" cm="1">
        <v>195</v>
      </c>
      <c r="BN29" s="102" t="s" cm="1">
        <v>195</v>
      </c>
      <c r="BO29" s="102" t="s" cm="1">
        <v>195</v>
      </c>
      <c r="BP29" s="103" cm="1">
        <v>1</v>
      </c>
      <c r="BQ29" s="112" cm="1">
        <v>1</v>
      </c>
      <c r="BR29" s="112" cm="1">
        <v>1</v>
      </c>
      <c r="BS29" s="9" t="str" cm="1">
        <f t="array" aca="1" ref="BS29"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29" s="10" t="str" cm="1">
        <f t="array" aca="1" ref="BT29"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29" s="10" t="str" cm="1">
        <f t="array" aca="1" ref="BU29"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29" s="10" t="str" cm="1">
        <f t="array" aca="1" ref="BV29"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29" s="10" t="str" cm="1">
        <f t="array" aca="1" ref="BW29"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29" s="10" cm="1">
        <f t="array" aca="1" ref="BX29"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0.9</v>
      </c>
      <c r="BY29" s="10" cm="1">
        <f t="array" aca="1" ref="BY29"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29" s="10" cm="1">
        <f t="array" aca="1" ref="BZ29"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3510</v>
      </c>
      <c r="CA29" s="106" t="str" cm="1">
        <f t="array" aca="1" ref="CA29"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29" s="107" t="str" cm="1">
        <f t="array" aca="1" ref="CB29"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29" s="107" t="str" cm="1">
        <f t="array" aca="1" ref="CC29"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29" s="107" t="str" cm="1">
        <f t="array" aca="1" ref="CD29"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29" s="107" t="str" cm="1">
        <f t="array" aca="1" ref="CE29"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29" s="107" cm="1">
        <f t="array" aca="1" ref="CF29"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0.9</v>
      </c>
      <c r="CG29" s="123" cm="1">
        <f t="array" aca="1" ref="CG29"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29" s="123" cm="1">
        <f t="array" aca="1" ref="CH29"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3510</v>
      </c>
      <c r="CI29" s="21" t="str" cm="1">
        <f t="array" aca="1" ref="CI29"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29" s="54" t="str" cm="1">
        <f t="array" aca="1" ref="CJ29"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29" s="54" t="str" cm="1">
        <f t="array" aca="1" ref="CK29"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29" s="54" t="str" cm="1">
        <f t="array" aca="1" ref="CL29"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29" s="54" t="str" cm="1">
        <f t="array" aca="1" ref="CM29"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29" s="54" cm="1">
        <f t="array" aca="1" ref="CN29"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0.9</v>
      </c>
      <c r="CO29" s="115" cm="1">
        <f t="array" aca="1" ref="CO29"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1</v>
      </c>
      <c r="CP29" s="55" cm="1">
        <f t="array" aca="1" ref="CP29"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3510</v>
      </c>
    </row>
    <row r="30" spans="1:94" ht="43.2" hidden="1" x14ac:dyDescent="0.3">
      <c r="A30" s="2">
        <v>25</v>
      </c>
      <c r="B30" t="str">
        <f>+LEFT(Info_Productos_Cuantitativo[[#This Row],[Producto esperado]],2)</f>
        <v>5.</v>
      </c>
      <c r="C30" s="127" t="s">
        <v>242</v>
      </c>
      <c r="D30" s="127" t="s">
        <v>243</v>
      </c>
      <c r="E30" s="128" t="s">
        <v>13</v>
      </c>
      <c r="F30" s="129">
        <v>0.03</v>
      </c>
      <c r="G30" s="130">
        <v>86</v>
      </c>
      <c r="H30" s="130" t="s">
        <v>10</v>
      </c>
      <c r="I30" s="130" t="s">
        <v>30</v>
      </c>
      <c r="J30" s="133">
        <v>44774</v>
      </c>
      <c r="K30" s="134">
        <v>48579</v>
      </c>
      <c r="L30" s="94" t="str" cm="1">
        <f t="array" ref="L30">+_xlfn.CONCAT("Q",LEFT(LOOKUP(2,1/(Cuantitativo_Productos[[#This Row],[1er Trimestre 2018]:[4o Trimestre 2025]]&lt;&gt;""),Cuantitativo_Productos[[#Headers],[1er Trimestre 2018]:[4o Trimestre 2025]]),1))</f>
        <v>Q2</v>
      </c>
      <c r="M30" s="108" t="str" cm="1">
        <f t="array" ref="M30">+RIGHT(LOOKUP(2,1/(Cuantitativo_Productos[[#This Row],[1er Trimestre 2018]:[4o Trimestre 2025]]&lt;&gt;""),Cuantitativo_Productos[[#Headers],[1er Trimestre 2018]:[4o Trimestre 2025]]),4)</f>
        <v>2025</v>
      </c>
      <c r="N30" s="28"/>
      <c r="O30" s="31"/>
      <c r="P30" s="31"/>
      <c r="Q30" s="32"/>
      <c r="R30" s="28"/>
      <c r="S30" s="31"/>
      <c r="T30" s="31"/>
      <c r="U30" s="32"/>
      <c r="V30" s="28"/>
      <c r="W30" s="31"/>
      <c r="X30" s="31"/>
      <c r="Y30" s="32"/>
      <c r="Z30" s="28"/>
      <c r="AA30" s="31"/>
      <c r="AB30" s="31"/>
      <c r="AC30" s="32"/>
      <c r="AD30" s="28"/>
      <c r="AE30" s="31"/>
      <c r="AF30" s="31"/>
      <c r="AG30" s="145">
        <v>106</v>
      </c>
      <c r="AH30" s="157"/>
      <c r="AI30" s="154"/>
      <c r="AJ30" s="147"/>
      <c r="AK30" s="152">
        <v>144</v>
      </c>
      <c r="AL30" s="31"/>
      <c r="AM30" s="159"/>
      <c r="AN30" s="31"/>
      <c r="AO30" s="31">
        <v>224</v>
      </c>
      <c r="AP30" s="31"/>
      <c r="AQ30" s="31">
        <f t="shared" si="0"/>
        <v>3510</v>
      </c>
      <c r="AR30" s="31"/>
      <c r="AS30" s="31"/>
      <c r="AT30" s="97" t="str" cm="1">
        <f t="array" aca="1" ref="AT30"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0" s="97" t="str" cm="1">
        <f t="array" aca="1" ref="AU30"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0" s="97" t="str" cm="1">
        <f t="array" aca="1" ref="AV30"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0" s="97" t="str" cm="1">
        <f t="array" aca="1" ref="AW30"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0" s="97" cm="1">
        <f t="array" aca="1" ref="AX30"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106</v>
      </c>
      <c r="AY30" s="97" t="e" cm="1">
        <f t="array" aca="1" ref="AY30"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#NAME?</v>
      </c>
      <c r="AZ30" s="97" t="e" cm="1">
        <f t="array" aca="1" ref="AZ30"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#NAME?</v>
      </c>
      <c r="BA30" s="97" t="e" cm="1">
        <f t="array" aca="1" ref="BA30"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#NAME?</v>
      </c>
      <c r="BB30" s="28"/>
      <c r="BC30" s="31"/>
      <c r="BD30" s="31"/>
      <c r="BE30" s="31"/>
      <c r="BF30" s="16">
        <v>106</v>
      </c>
      <c r="BG30" s="17">
        <v>192</v>
      </c>
      <c r="BH30" s="174">
        <v>224</v>
      </c>
      <c r="BI30" s="174">
        <v>264</v>
      </c>
      <c r="BJ30" s="184">
        <v>789</v>
      </c>
      <c r="BK30" s="97" t="str" cm="1">
        <f t="array" aca="1" ref="BK30"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0" s="105" t="s" cm="1">
        <v>195</v>
      </c>
      <c r="BM30" s="105" t="s" cm="1">
        <v>195</v>
      </c>
      <c r="BN30" s="105" t="s" cm="1">
        <v>195</v>
      </c>
      <c r="BO30" s="105" cm="1">
        <v>106</v>
      </c>
      <c r="BP30" s="121" cm="1">
        <v>192</v>
      </c>
      <c r="BQ30" s="119" cm="1">
        <v>224</v>
      </c>
      <c r="BR30" s="119" cm="1">
        <v>244</v>
      </c>
      <c r="BS30" s="9" t="str" cm="1">
        <f t="array" aca="1" ref="BS30"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0" s="10" t="str" cm="1">
        <f t="array" aca="1" ref="BT30"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0" s="10" t="str" cm="1">
        <f t="array" aca="1" ref="BU30"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0" s="10" t="str" cm="1">
        <f t="array" aca="1" ref="BV30"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0" s="10" t="e" cm="1">
        <f t="array" aca="1" ref="BW30"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#NAME?</v>
      </c>
      <c r="BX30" s="10" t="e" cm="1">
        <f t="array" aca="1" ref="BX30"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#NAME?</v>
      </c>
      <c r="BY30" s="10" t="e" cm="1">
        <f t="array" aca="1" ref="BY30"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#NAME?</v>
      </c>
      <c r="BZ30" s="10" t="e" cm="1">
        <f t="array" aca="1" ref="BZ30"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#NAME?</v>
      </c>
      <c r="CA30" s="106" t="str" cm="1">
        <f t="array" aca="1" ref="CA30"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0" s="107" t="str" cm="1">
        <f t="array" aca="1" ref="CB30"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0" s="107" t="str" cm="1">
        <f t="array" aca="1" ref="CC30"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0" s="107" t="str" cm="1">
        <f t="array" aca="1" ref="CD30"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0" s="107" t="e" cm="1">
        <f t="array" aca="1" ref="CE30"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#NAME?</v>
      </c>
      <c r="CF30" s="107" t="e" cm="1">
        <f t="array" aca="1" ref="CF30"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#NAME?</v>
      </c>
      <c r="CG30" s="123" t="e" cm="1">
        <f t="array" aca="1" ref="CG30"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#NAME?</v>
      </c>
      <c r="CH30" s="123" t="e" cm="1">
        <f t="array" aca="1" ref="CH30"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#NAME?</v>
      </c>
      <c r="CI30" s="21" t="str" cm="1">
        <f t="array" aca="1" ref="CI30"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0" s="54" t="str" cm="1">
        <f t="array" aca="1" ref="CJ30"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0" s="54" t="str" cm="1">
        <f t="array" aca="1" ref="CK30"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0" s="54" t="str" cm="1">
        <f t="array" aca="1" ref="CL30"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0" s="54" t="e" cm="1">
        <f t="array" aca="1" ref="CM30"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#NAME?</v>
      </c>
      <c r="CN30" s="54" t="e" cm="1">
        <f t="array" aca="1" ref="CN30"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#NAME?</v>
      </c>
      <c r="CO30" s="115" t="e" cm="1">
        <f t="array" aca="1" ref="CO30"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#NAME?</v>
      </c>
      <c r="CP30" s="55" t="e" cm="1">
        <f t="array" aca="1" ref="CP30"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#NAME?</v>
      </c>
    </row>
    <row r="31" spans="1:94" ht="43.2" hidden="1" x14ac:dyDescent="0.3">
      <c r="A31" s="2">
        <v>26</v>
      </c>
      <c r="B31" t="str">
        <f>+LEFT(Info_Productos_Cuantitativo[[#This Row],[Producto esperado]],2)</f>
        <v>5.</v>
      </c>
      <c r="C31" s="127" t="s">
        <v>244</v>
      </c>
      <c r="D31" s="127" t="s">
        <v>245</v>
      </c>
      <c r="E31" s="128" t="s">
        <v>13</v>
      </c>
      <c r="F31" s="129">
        <v>0.02</v>
      </c>
      <c r="G31" s="130"/>
      <c r="H31" s="130" t="s">
        <v>25</v>
      </c>
      <c r="I31" s="130" t="s">
        <v>30</v>
      </c>
      <c r="J31" s="133">
        <v>44927</v>
      </c>
      <c r="K31" s="134">
        <v>48579</v>
      </c>
      <c r="L31" s="94" t="str" cm="1">
        <f t="array" ref="L31">+_xlfn.CONCAT("Q",LEFT(LOOKUP(2,1/(Cuantitativo_Productos[[#This Row],[1er Trimestre 2018]:[4o Trimestre 2025]]&lt;&gt;""),Cuantitativo_Productos[[#Headers],[1er Trimestre 2018]:[4o Trimestre 2025]]),1))</f>
        <v>Q2</v>
      </c>
      <c r="M31" s="108" t="str" cm="1">
        <f t="array" ref="M31">+RIGHT(LOOKUP(2,1/(Cuantitativo_Productos[[#This Row],[1er Trimestre 2018]:[4o Trimestre 2025]]&lt;&gt;""),Cuantitativo_Productos[[#Headers],[1er Trimestre 2018]:[4o Trimestre 2025]]),4)</f>
        <v>2025</v>
      </c>
      <c r="N31" s="28"/>
      <c r="O31" s="31"/>
      <c r="P31" s="31"/>
      <c r="Q31" s="32"/>
      <c r="R31" s="28"/>
      <c r="S31" s="31"/>
      <c r="T31" s="31"/>
      <c r="U31" s="32"/>
      <c r="V31" s="28"/>
      <c r="W31" s="31"/>
      <c r="X31" s="31"/>
      <c r="Y31" s="32"/>
      <c r="Z31" s="28"/>
      <c r="AA31" s="31"/>
      <c r="AB31" s="31"/>
      <c r="AC31" s="32"/>
      <c r="AD31" s="28"/>
      <c r="AE31" s="31"/>
      <c r="AF31" s="31"/>
      <c r="AG31" s="32"/>
      <c r="AH31" s="28"/>
      <c r="AI31" s="143"/>
      <c r="AJ31" s="31"/>
      <c r="AK31" s="162">
        <v>10</v>
      </c>
      <c r="AL31" s="31"/>
      <c r="AM31" s="31"/>
      <c r="AN31" s="31"/>
      <c r="AO31" s="31">
        <v>1</v>
      </c>
      <c r="AP31" s="31"/>
      <c r="AQ31" s="31">
        <f t="shared" si="0"/>
        <v>3510</v>
      </c>
      <c r="AR31" s="31"/>
      <c r="AS31" s="31"/>
      <c r="AT31" s="97" t="str" cm="1">
        <f t="array" aca="1" ref="AT31"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1" s="97" t="str" cm="1">
        <f t="array" aca="1" ref="AU31"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1" s="97" t="str" cm="1">
        <f t="array" aca="1" ref="AV31"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1" s="97" t="str" cm="1">
        <f t="array" aca="1" ref="AW31"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1" s="97" t="str" cm="1">
        <f t="array" aca="1" ref="AX31"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
      </c>
      <c r="AY31" s="97" cm="1">
        <f t="array" aca="1" ref="AY31"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10</v>
      </c>
      <c r="AZ31" s="97" cm="1">
        <f t="array" aca="1" ref="AZ31"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11</v>
      </c>
      <c r="BA31" s="97" cm="1">
        <f t="array" aca="1" ref="BA31"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3521</v>
      </c>
      <c r="BB31" s="28"/>
      <c r="BC31" s="31"/>
      <c r="BD31" s="31"/>
      <c r="BE31" s="31"/>
      <c r="BF31" s="16"/>
      <c r="BG31" s="17">
        <v>1</v>
      </c>
      <c r="BH31" s="174">
        <v>1</v>
      </c>
      <c r="BI31" s="174">
        <v>1</v>
      </c>
      <c r="BJ31" s="184">
        <v>10</v>
      </c>
      <c r="BK31" s="97" t="str" cm="1">
        <f t="array" aca="1" ref="BK31"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1" s="105" t="s" cm="1">
        <v>195</v>
      </c>
      <c r="BM31" s="105" t="s" cm="1">
        <v>195</v>
      </c>
      <c r="BN31" s="105" t="s" cm="1">
        <v>195</v>
      </c>
      <c r="BO31" s="105" t="s" cm="1">
        <v>195</v>
      </c>
      <c r="BP31" s="121" cm="1">
        <v>1</v>
      </c>
      <c r="BQ31" s="119" cm="1">
        <v>2</v>
      </c>
      <c r="BR31" s="119" cm="1">
        <v>2.5</v>
      </c>
      <c r="BS31" s="9" t="str" cm="1">
        <f t="array" aca="1" ref="BS31"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1" s="10" t="str" cm="1">
        <f t="array" aca="1" ref="BT31"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1" s="10" t="str" cm="1">
        <f t="array" aca="1" ref="BU31"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1" s="10" t="str" cm="1">
        <f t="array" aca="1" ref="BV31"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1" s="10" t="str" cm="1">
        <f t="array" aca="1" ref="BW31"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
      </c>
      <c r="BX31" s="10" cm="1">
        <f t="array" aca="1" ref="BX31"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10</v>
      </c>
      <c r="BY31" s="10" cm="1">
        <f t="array" aca="1" ref="BY31"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31" s="10" cm="1">
        <f t="array" aca="1" ref="BZ31"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7020</v>
      </c>
      <c r="CA31" s="106" t="str" cm="1">
        <f t="array" aca="1" ref="CA31"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1" s="107" t="str" cm="1">
        <f t="array" aca="1" ref="CB31"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1" s="107" t="str" cm="1">
        <f t="array" aca="1" ref="CC31"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1" s="107" t="str" cm="1">
        <f t="array" aca="1" ref="CD31"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1" s="107" t="str" cm="1">
        <f t="array" aca="1" ref="CE31"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
      </c>
      <c r="CF31" s="107" cm="1">
        <f t="array" aca="1" ref="CF31"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10</v>
      </c>
      <c r="CG31" s="123" cm="1">
        <f t="array" aca="1" ref="CG31"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5.5</v>
      </c>
      <c r="CH31" s="123" cm="1">
        <f t="array" aca="1" ref="CH31"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1408.4</v>
      </c>
      <c r="CI31" s="21" t="str" cm="1">
        <f t="array" aca="1" ref="CI31"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1" s="54" t="str" cm="1">
        <f t="array" aca="1" ref="CJ31"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1" s="54" t="str" cm="1">
        <f t="array" aca="1" ref="CK31"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1" s="54" t="str" cm="1">
        <f t="array" aca="1" ref="CL31"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1" s="54" t="str" cm="1">
        <f t="array" aca="1" ref="CM31"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
      </c>
      <c r="CN31" s="54" cm="1">
        <f t="array" aca="1" ref="CN31"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1</v>
      </c>
      <c r="CO31" s="115" cm="1">
        <f t="array" aca="1" ref="CO31"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1.1000000000000001</v>
      </c>
      <c r="CP31" s="55" cm="1">
        <f t="array" aca="1" ref="CP31"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352.1</v>
      </c>
    </row>
    <row r="32" spans="1:94" ht="72" hidden="1" x14ac:dyDescent="0.3">
      <c r="A32" s="2">
        <v>27</v>
      </c>
      <c r="B32" t="str">
        <f>+LEFT(Info_Productos_Cuantitativo[[#This Row],[Producto esperado]],2)</f>
        <v>5.</v>
      </c>
      <c r="C32" s="127" t="s">
        <v>246</v>
      </c>
      <c r="D32" s="127" t="s">
        <v>247</v>
      </c>
      <c r="E32" s="128" t="s">
        <v>13</v>
      </c>
      <c r="F32" s="129">
        <v>0.05</v>
      </c>
      <c r="G32" s="130">
        <v>128</v>
      </c>
      <c r="H32" s="130" t="s">
        <v>20</v>
      </c>
      <c r="I32" s="130" t="s">
        <v>26</v>
      </c>
      <c r="J32" s="133">
        <v>44774</v>
      </c>
      <c r="K32" s="134">
        <v>48579</v>
      </c>
      <c r="L32" s="94" t="str" cm="1">
        <f t="array" ref="L32">+_xlfn.CONCAT("Q",LEFT(LOOKUP(2,1/(Cuantitativo_Productos[[#This Row],[1er Trimestre 2018]:[4o Trimestre 2025]]&lt;&gt;""),Cuantitativo_Productos[[#Headers],[1er Trimestre 2018]:[4o Trimestre 2025]]),1))</f>
        <v>Q2</v>
      </c>
      <c r="M32" s="108" t="str" cm="1">
        <f t="array" ref="M32">+RIGHT(LOOKUP(2,1/(Cuantitativo_Productos[[#This Row],[1er Trimestre 2018]:[4o Trimestre 2025]]&lt;&gt;""),Cuantitativo_Productos[[#Headers],[1er Trimestre 2018]:[4o Trimestre 2025]]),4)</f>
        <v>2025</v>
      </c>
      <c r="N32" s="28"/>
      <c r="O32" s="31"/>
      <c r="P32" s="31"/>
      <c r="Q32" s="32"/>
      <c r="R32" s="28"/>
      <c r="S32" s="31"/>
      <c r="T32" s="31"/>
      <c r="U32" s="32"/>
      <c r="V32" s="28"/>
      <c r="W32" s="31"/>
      <c r="X32" s="31"/>
      <c r="Y32" s="32"/>
      <c r="Z32" s="28"/>
      <c r="AA32" s="31"/>
      <c r="AB32" s="31"/>
      <c r="AC32" s="32"/>
      <c r="AD32" s="28"/>
      <c r="AE32" s="31"/>
      <c r="AF32" s="31"/>
      <c r="AG32" s="145">
        <v>128</v>
      </c>
      <c r="AH32" s="156">
        <v>32</v>
      </c>
      <c r="AI32" s="154">
        <v>32</v>
      </c>
      <c r="AJ32" s="147"/>
      <c r="AK32" s="145">
        <v>32</v>
      </c>
      <c r="AL32" s="31"/>
      <c r="AM32" s="159">
        <v>0</v>
      </c>
      <c r="AN32" s="31"/>
      <c r="AO32" s="31">
        <v>128</v>
      </c>
      <c r="AP32" s="31"/>
      <c r="AQ32" s="31">
        <f t="shared" si="0"/>
        <v>3510</v>
      </c>
      <c r="AR32" s="31"/>
      <c r="AS32" s="31"/>
      <c r="AT32" s="97" t="str" cm="1">
        <f t="array" aca="1" ref="AT32"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2" s="97" t="str" cm="1">
        <f t="array" aca="1" ref="AU32"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2" s="97" t="str" cm="1">
        <f t="array" aca="1" ref="AV32"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2" s="97" t="str" cm="1">
        <f t="array" aca="1" ref="AW32"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2" s="97" cm="1">
        <f t="array" aca="1" ref="AX32"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128</v>
      </c>
      <c r="AY32" s="97" cm="1">
        <f t="array" aca="1" ref="AY32"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32</v>
      </c>
      <c r="AZ32" s="97" cm="1">
        <f t="array" aca="1" ref="AZ32"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128</v>
      </c>
      <c r="BA32" s="97" cm="1">
        <f t="array" aca="1" ref="BA32"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v>
      </c>
      <c r="BB32" s="28"/>
      <c r="BC32" s="31"/>
      <c r="BD32" s="31"/>
      <c r="BE32" s="31"/>
      <c r="BF32" s="16">
        <v>128</v>
      </c>
      <c r="BG32" s="17">
        <v>128</v>
      </c>
      <c r="BH32" s="174">
        <v>128</v>
      </c>
      <c r="BI32" s="174">
        <v>128</v>
      </c>
      <c r="BJ32" s="184">
        <v>128</v>
      </c>
      <c r="BK32" s="97" t="str" cm="1">
        <f t="array" aca="1" ref="BK32"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2" s="105" t="s" cm="1">
        <v>195</v>
      </c>
      <c r="BM32" s="105" t="s" cm="1">
        <v>195</v>
      </c>
      <c r="BN32" s="105" t="s" cm="1">
        <v>195</v>
      </c>
      <c r="BO32" s="105" cm="1">
        <v>128</v>
      </c>
      <c r="BP32" s="121" cm="1">
        <v>128</v>
      </c>
      <c r="BQ32" s="119" cm="1">
        <v>128</v>
      </c>
      <c r="BR32" s="119" cm="1">
        <v>128</v>
      </c>
      <c r="BS32" s="9" t="str" cm="1">
        <f t="array" aca="1" ref="BS32"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2" s="10" t="str" cm="1">
        <f t="array" aca="1" ref="BT32"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2" s="10" t="str" cm="1">
        <f t="array" aca="1" ref="BU32"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2" s="10" t="str" cm="1">
        <f t="array" aca="1" ref="BV32"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2" s="10" cm="1">
        <f t="array" aca="1" ref="BW32"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32" s="10" cm="1">
        <f t="array" aca="1" ref="BX32"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0.25</v>
      </c>
      <c r="BY32" s="10" cm="1">
        <f t="array" aca="1" ref="BY32"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32" s="10" cm="1">
        <f t="array" aca="1" ref="BZ32"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27.421875</v>
      </c>
      <c r="CA32" s="106" t="str" cm="1">
        <f t="array" aca="1" ref="CA32"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2" s="107" t="str" cm="1">
        <f t="array" aca="1" ref="CB32"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2" s="107" t="str" cm="1">
        <f t="array" aca="1" ref="CC32"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2" s="107" t="str" cm="1">
        <f t="array" aca="1" ref="CD32"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2" s="107" cm="1">
        <f t="array" aca="1" ref="CE32"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32" s="107" cm="1">
        <f t="array" aca="1" ref="CF32"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0.25</v>
      </c>
      <c r="CG32" s="123" cm="1">
        <f t="array" aca="1" ref="CG32"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v>
      </c>
      <c r="CH32" s="123" cm="1">
        <f t="array" aca="1" ref="CH32"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27.421875</v>
      </c>
      <c r="CI32" s="21" t="str" cm="1">
        <f t="array" aca="1" ref="CI32"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2" s="54" t="str" cm="1">
        <f t="array" aca="1" ref="CJ32"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2" s="54" t="str" cm="1">
        <f t="array" aca="1" ref="CK32"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2" s="54" t="str" cm="1">
        <f t="array" aca="1" ref="CL32"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2" s="54" cm="1">
        <f t="array" aca="1" ref="CM32"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1</v>
      </c>
      <c r="CN32" s="54" cm="1">
        <f t="array" aca="1" ref="CN32"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0.25</v>
      </c>
      <c r="CO32" s="115" cm="1">
        <f t="array" aca="1" ref="CO32"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1</v>
      </c>
      <c r="CP32" s="55" cm="1">
        <f t="array" aca="1" ref="CP32"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27.421875</v>
      </c>
    </row>
    <row r="33" spans="1:94" ht="57.6" hidden="1" x14ac:dyDescent="0.3">
      <c r="A33" s="2">
        <v>28</v>
      </c>
      <c r="B33" t="str">
        <f>+LEFT(Info_Productos_Cuantitativo[[#This Row],[Producto esperado]],2)</f>
        <v>5.</v>
      </c>
      <c r="C33" s="127" t="s">
        <v>248</v>
      </c>
      <c r="D33" s="127" t="s">
        <v>249</v>
      </c>
      <c r="E33" s="128" t="s">
        <v>13</v>
      </c>
      <c r="F33" s="129">
        <v>0.05</v>
      </c>
      <c r="G33" s="135"/>
      <c r="H33" s="130" t="s">
        <v>10</v>
      </c>
      <c r="I33" s="130" t="s">
        <v>26</v>
      </c>
      <c r="J33" s="133">
        <v>44774</v>
      </c>
      <c r="K33" s="134">
        <v>48579</v>
      </c>
      <c r="L33" s="94" t="str" cm="1">
        <f t="array" ref="L33">+_xlfn.CONCAT("Q",LEFT(LOOKUP(2,1/(Cuantitativo_Productos[[#This Row],[1er Trimestre 2018]:[4o Trimestre 2025]]&lt;&gt;""),Cuantitativo_Productos[[#Headers],[1er Trimestre 2018]:[4o Trimestre 2025]]),1))</f>
        <v>Q2</v>
      </c>
      <c r="M33" s="108" t="str" cm="1">
        <f t="array" ref="M33">+RIGHT(LOOKUP(2,1/(Cuantitativo_Productos[[#This Row],[1er Trimestre 2018]:[4o Trimestre 2025]]&lt;&gt;""),Cuantitativo_Productos[[#Headers],[1er Trimestre 2018]:[4o Trimestre 2025]]),4)</f>
        <v>2025</v>
      </c>
      <c r="N33" s="28"/>
      <c r="O33" s="31"/>
      <c r="P33" s="31"/>
      <c r="Q33" s="32"/>
      <c r="R33" s="28"/>
      <c r="S33" s="31"/>
      <c r="T33" s="31"/>
      <c r="U33" s="32"/>
      <c r="V33" s="28"/>
      <c r="W33" s="31"/>
      <c r="X33" s="31"/>
      <c r="Y33" s="32"/>
      <c r="Z33" s="28"/>
      <c r="AA33" s="31"/>
      <c r="AB33" s="31"/>
      <c r="AC33" s="32"/>
      <c r="AD33" s="28"/>
      <c r="AE33" s="31"/>
      <c r="AF33" s="31"/>
      <c r="AG33" s="162">
        <v>5</v>
      </c>
      <c r="AH33" s="153"/>
      <c r="AI33" s="163">
        <v>9</v>
      </c>
      <c r="AJ33" s="31"/>
      <c r="AK33" s="162">
        <v>2</v>
      </c>
      <c r="AL33" s="31"/>
      <c r="AM33" s="31">
        <v>95</v>
      </c>
      <c r="AN33" s="31"/>
      <c r="AO33" s="31">
        <v>97</v>
      </c>
      <c r="AP33" s="31"/>
      <c r="AQ33" s="31">
        <f t="shared" si="0"/>
        <v>3510</v>
      </c>
      <c r="AR33" s="31"/>
      <c r="AS33" s="31"/>
      <c r="AT33" s="97" t="str" cm="1">
        <f t="array" aca="1" ref="AT33"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3" s="97" t="str" cm="1">
        <f t="array" aca="1" ref="AU33"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3" s="97" t="str" cm="1">
        <f t="array" aca="1" ref="AV33"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3" s="97" t="str" cm="1">
        <f t="array" aca="1" ref="AW33"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3" s="97" cm="1">
        <f t="array" aca="1" ref="AX33"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5</v>
      </c>
      <c r="AY33" s="162">
        <v>2</v>
      </c>
      <c r="AZ33" s="97" t="e" cm="1">
        <f t="array" aca="1" ref="AZ33"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#NAME?</v>
      </c>
      <c r="BA33" s="97" t="e" cm="1">
        <f t="array" aca="1" ref="BA33"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#NAME?</v>
      </c>
      <c r="BB33" s="28"/>
      <c r="BC33" s="31"/>
      <c r="BD33" s="31"/>
      <c r="BE33" s="31"/>
      <c r="BF33" s="16">
        <v>5</v>
      </c>
      <c r="BG33" s="17">
        <v>8</v>
      </c>
      <c r="BH33" s="174">
        <v>10</v>
      </c>
      <c r="BI33" s="174">
        <v>10</v>
      </c>
      <c r="BJ33" s="184">
        <v>128</v>
      </c>
      <c r="BK33" s="97" t="str" cm="1">
        <f t="array" aca="1" ref="BK33"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3" s="105" t="s" cm="1">
        <v>195</v>
      </c>
      <c r="BM33" s="105" t="s" cm="1">
        <v>195</v>
      </c>
      <c r="BN33" s="105" t="s" cm="1">
        <v>195</v>
      </c>
      <c r="BO33" s="105" cm="1">
        <v>5</v>
      </c>
      <c r="BP33" s="121" cm="1">
        <v>8</v>
      </c>
      <c r="BQ33" s="119" cm="1">
        <v>10</v>
      </c>
      <c r="BR33" s="119" cm="1">
        <v>10</v>
      </c>
      <c r="BS33" s="9" t="str" cm="1">
        <f t="array" aca="1" ref="BS33"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3" s="10" t="str" cm="1">
        <f t="array" aca="1" ref="BT33"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3" s="10" t="str" cm="1">
        <f t="array" aca="1" ref="BU33"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3" s="10" t="str" cm="1">
        <f t="array" aca="1" ref="BV33"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3" s="10" t="e" cm="1">
        <f t="array" aca="1" ref="BW33"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#NAME?</v>
      </c>
      <c r="BX33" s="10" cm="1">
        <f t="array" ref="BX33">+IF(OR(Metas_Productos[[#This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0.25</v>
      </c>
      <c r="BY33" s="10" t="e" cm="1">
        <f t="array" aca="1" ref="BY33"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#NAME?</v>
      </c>
      <c r="BZ33" s="10" t="e" cm="1">
        <f t="array" aca="1" ref="BZ33"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#NAME?</v>
      </c>
      <c r="CA33" s="106" t="str" cm="1">
        <f t="array" aca="1" ref="CA33"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3" s="107" t="str" cm="1">
        <f t="array" aca="1" ref="CB33"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3" s="107" t="str" cm="1">
        <f t="array" aca="1" ref="CC33"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3" s="107" t="str" cm="1">
        <f t="array" aca="1" ref="CD33"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3" s="107" t="e" cm="1">
        <f t="array" aca="1" ref="CE33"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#NAME?</v>
      </c>
      <c r="CF33" s="107" cm="1">
        <f t="array" ref="CF33">+IF(OR(Cuantitativo_Productos[[#This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0.25</v>
      </c>
      <c r="CG33" s="123" t="e" cm="1">
        <f t="array" aca="1" ref="CG33"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#NAME?</v>
      </c>
      <c r="CH33" s="123" t="e" cm="1">
        <f t="array" aca="1" ref="CH33"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#NAME?</v>
      </c>
      <c r="CI33" s="21" t="str" cm="1">
        <f t="array" aca="1" ref="CI33"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3" s="54" t="str" cm="1">
        <f t="array" aca="1" ref="CJ33"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3" s="54" t="str" cm="1">
        <f t="array" aca="1" ref="CK33"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3" s="54" t="str" cm="1">
        <f t="array" aca="1" ref="CL33"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3" s="54" t="e" cm="1">
        <f t="array" aca="1" ref="CM33"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#NAME?</v>
      </c>
      <c r="CN33" s="54" cm="1">
        <f t="array" ref="CN33">+IF(OR(Metas_Productos[[#This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1.5625E-2</v>
      </c>
      <c r="CO33" s="115" t="e" cm="1">
        <f t="array" aca="1" ref="CO33"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#NAME?</v>
      </c>
      <c r="CP33" s="55" t="e" cm="1">
        <f t="array" aca="1" ref="CP33"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#NAME?</v>
      </c>
    </row>
    <row r="34" spans="1:94" ht="43.2" hidden="1" x14ac:dyDescent="0.3">
      <c r="A34" s="2">
        <v>29</v>
      </c>
      <c r="B34" t="str">
        <f>+LEFT(Info_Productos_Cuantitativo[[#This Row],[Producto esperado]],2)</f>
        <v>5.</v>
      </c>
      <c r="C34" s="127" t="s">
        <v>250</v>
      </c>
      <c r="D34" s="127" t="s">
        <v>251</v>
      </c>
      <c r="E34" s="128" t="s">
        <v>13</v>
      </c>
      <c r="F34" s="129">
        <v>0.08</v>
      </c>
      <c r="G34" s="130">
        <v>2</v>
      </c>
      <c r="H34" s="130" t="s">
        <v>25</v>
      </c>
      <c r="I34" s="130" t="s">
        <v>26</v>
      </c>
      <c r="J34" s="133">
        <v>44774</v>
      </c>
      <c r="K34" s="134">
        <v>48579</v>
      </c>
      <c r="L34" s="94" t="str" cm="1">
        <f t="array" ref="L34">+_xlfn.CONCAT("Q",LEFT(LOOKUP(2,1/(Cuantitativo_Productos[[#This Row],[1er Trimestre 2018]:[4o Trimestre 2025]]&lt;&gt;""),Cuantitativo_Productos[[#Headers],[1er Trimestre 2018]:[4o Trimestre 2025]]),1))</f>
        <v>Q2</v>
      </c>
      <c r="M34" s="108" t="str" cm="1">
        <f t="array" ref="M34">+RIGHT(LOOKUP(2,1/(Cuantitativo_Productos[[#This Row],[1er Trimestre 2018]:[4o Trimestre 2025]]&lt;&gt;""),Cuantitativo_Productos[[#Headers],[1er Trimestre 2018]:[4o Trimestre 2025]]),4)</f>
        <v>2025</v>
      </c>
      <c r="N34" s="28"/>
      <c r="O34" s="31"/>
      <c r="P34" s="31"/>
      <c r="Q34" s="32"/>
      <c r="R34" s="28"/>
      <c r="S34" s="31"/>
      <c r="T34" s="31"/>
      <c r="U34" s="32"/>
      <c r="V34" s="28"/>
      <c r="W34" s="31"/>
      <c r="X34" s="31"/>
      <c r="Y34" s="32"/>
      <c r="Z34" s="28"/>
      <c r="AA34" s="31"/>
      <c r="AB34" s="31"/>
      <c r="AC34" s="32"/>
      <c r="AD34" s="28"/>
      <c r="AE34" s="31"/>
      <c r="AF34" s="31"/>
      <c r="AG34" s="32">
        <v>3</v>
      </c>
      <c r="AH34" s="28">
        <v>3</v>
      </c>
      <c r="AI34" s="164"/>
      <c r="AJ34" s="31"/>
      <c r="AK34" s="32">
        <v>3</v>
      </c>
      <c r="AL34" s="31"/>
      <c r="AM34" s="31">
        <v>1</v>
      </c>
      <c r="AN34" s="31"/>
      <c r="AO34" s="31">
        <v>2</v>
      </c>
      <c r="AP34" s="31"/>
      <c r="AQ34" s="31">
        <f t="shared" si="0"/>
        <v>3510</v>
      </c>
      <c r="AR34" s="31"/>
      <c r="AS34" s="31"/>
      <c r="AT34" s="97" t="str" cm="1">
        <f t="array" aca="1" ref="AT34"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4" s="97" t="str" cm="1">
        <f t="array" aca="1" ref="AU34"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4" s="97" t="str" cm="1">
        <f t="array" aca="1" ref="AV34"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4" s="97" t="str" cm="1">
        <f t="array" aca="1" ref="AW34"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4" s="97" cm="1">
        <f t="array" aca="1" ref="AX34"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3</v>
      </c>
      <c r="AY34" s="97" cm="1">
        <f t="array" aca="1" ref="AY34"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9</v>
      </c>
      <c r="AZ34" s="97" cm="1">
        <f t="array" aca="1" ref="AZ34"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12</v>
      </c>
      <c r="BA34" s="97" cm="1">
        <f t="array" aca="1" ref="BA34"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3522</v>
      </c>
      <c r="BB34" s="28"/>
      <c r="BC34" s="31"/>
      <c r="BD34" s="31"/>
      <c r="BE34" s="31"/>
      <c r="BF34" s="16">
        <v>3</v>
      </c>
      <c r="BG34" s="17">
        <v>3</v>
      </c>
      <c r="BH34" s="174">
        <v>3</v>
      </c>
      <c r="BI34" s="174">
        <v>3</v>
      </c>
      <c r="BJ34" s="184">
        <v>47</v>
      </c>
      <c r="BK34" s="97" t="str" cm="1">
        <f t="array" aca="1" ref="BK34"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4" s="105" t="s" cm="1">
        <v>195</v>
      </c>
      <c r="BM34" s="105" t="s" cm="1">
        <v>195</v>
      </c>
      <c r="BN34" s="105" t="s" cm="1">
        <v>195</v>
      </c>
      <c r="BO34" s="105" cm="1">
        <v>3</v>
      </c>
      <c r="BP34" s="121" cm="1">
        <v>6</v>
      </c>
      <c r="BQ34" s="119" cm="1">
        <v>9</v>
      </c>
      <c r="BR34" s="119" cm="1">
        <v>10.5</v>
      </c>
      <c r="BS34" s="9" t="str" cm="1">
        <f t="array" aca="1" ref="BS34"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4" s="10" t="str" cm="1">
        <f t="array" aca="1" ref="BT34"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4" s="10" t="str" cm="1">
        <f t="array" aca="1" ref="BU34"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4" s="10" t="str" cm="1">
        <f t="array" aca="1" ref="BV34"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4" s="10" cm="1">
        <f t="array" aca="1" ref="BW34"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1</v>
      </c>
      <c r="BX34" s="10" cm="1">
        <f t="array" aca="1" ref="BX34"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2</v>
      </c>
      <c r="BY34" s="10" cm="1">
        <f t="array" aca="1" ref="BY34"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1</v>
      </c>
      <c r="BZ34" s="10" cm="1">
        <f t="array" aca="1" ref="BZ34"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2340</v>
      </c>
      <c r="CA34" s="106" t="str" cm="1">
        <f t="array" aca="1" ref="CA34"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4" s="107" t="str" cm="1">
        <f t="array" aca="1" ref="CB34"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4" s="107" t="str" cm="1">
        <f t="array" aca="1" ref="CC34"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4" s="107" t="str" cm="1">
        <f t="array" aca="1" ref="CD34"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4" s="107" cm="1">
        <f t="array" aca="1" ref="CE34"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1</v>
      </c>
      <c r="CF34" s="107" cm="1">
        <f t="array" aca="1" ref="CF34"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1.5</v>
      </c>
      <c r="CG34" s="123" cm="1">
        <f t="array" aca="1" ref="CG34"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1.3333333333333333</v>
      </c>
      <c r="CH34" s="123" cm="1">
        <f t="array" aca="1" ref="CH34"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335.42857142857144</v>
      </c>
      <c r="CI34" s="21" t="str" cm="1">
        <f t="array" aca="1" ref="CI34"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4" s="54" t="str" cm="1">
        <f t="array" aca="1" ref="CJ34"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4" s="54" t="str" cm="1">
        <f t="array" aca="1" ref="CK34"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4" s="54" t="str" cm="1">
        <f t="array" aca="1" ref="CL34"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4" s="54" cm="1">
        <f t="array" aca="1" ref="CM34"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6.3829787234042548E-2</v>
      </c>
      <c r="CN34" s="54" cm="1">
        <f t="array" aca="1" ref="CN34"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0.19148936170212766</v>
      </c>
      <c r="CO34" s="115" cm="1">
        <f t="array" aca="1" ref="CO34"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0.25531914893617019</v>
      </c>
      <c r="CP34" s="55" cm="1">
        <f t="array" aca="1" ref="CP34"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74.936170212765958</v>
      </c>
    </row>
    <row r="35" spans="1:94" ht="43.2" hidden="1" x14ac:dyDescent="0.3">
      <c r="A35" s="2">
        <v>30</v>
      </c>
      <c r="B35" t="str">
        <f>+LEFT(Info_Productos_Cuantitativo[[#This Row],[Producto esperado]],2)</f>
        <v>5.</v>
      </c>
      <c r="C35" s="127" t="s">
        <v>252</v>
      </c>
      <c r="D35" s="127" t="s">
        <v>253</v>
      </c>
      <c r="E35" s="128" t="s">
        <v>8</v>
      </c>
      <c r="F35" s="129">
        <v>7.0000000000000007E-2</v>
      </c>
      <c r="G35" s="130">
        <v>69661</v>
      </c>
      <c r="H35" s="130" t="s">
        <v>20</v>
      </c>
      <c r="I35" s="130" t="s">
        <v>26</v>
      </c>
      <c r="J35" s="133">
        <v>44742</v>
      </c>
      <c r="K35" s="134">
        <v>413805</v>
      </c>
      <c r="L35" s="94" t="str" cm="1">
        <f t="array" ref="L35">+_xlfn.CONCAT("Q",LEFT(LOOKUP(2,1/(Cuantitativo_Productos[[#This Row],[1er Trimestre 2018]:[4o Trimestre 2025]]&lt;&gt;""),Cuantitativo_Productos[[#Headers],[1er Trimestre 2018]:[4o Trimestre 2025]]),1))</f>
        <v>Q2</v>
      </c>
      <c r="M35" s="108" t="str" cm="1">
        <f t="array" ref="M35">+RIGHT(LOOKUP(2,1/(Cuantitativo_Productos[[#This Row],[1er Trimestre 2018]:[4o Trimestre 2025]]&lt;&gt;""),Cuantitativo_Productos[[#Headers],[1er Trimestre 2018]:[4o Trimestre 2025]]),4)</f>
        <v>2025</v>
      </c>
      <c r="N35" s="28"/>
      <c r="O35" s="31"/>
      <c r="P35" s="31"/>
      <c r="Q35" s="32"/>
      <c r="R35" s="28"/>
      <c r="S35" s="31"/>
      <c r="T35" s="31"/>
      <c r="U35" s="32"/>
      <c r="V35" s="28"/>
      <c r="W35" s="31"/>
      <c r="X35" s="31"/>
      <c r="Y35" s="32"/>
      <c r="Z35" s="28"/>
      <c r="AA35" s="31"/>
      <c r="AB35" s="31"/>
      <c r="AC35" s="32"/>
      <c r="AD35" s="28"/>
      <c r="AE35" s="31"/>
      <c r="AF35" s="31"/>
      <c r="AG35" s="145">
        <v>26396</v>
      </c>
      <c r="AH35" s="156">
        <v>1979</v>
      </c>
      <c r="AI35" s="154">
        <v>29330</v>
      </c>
      <c r="AJ35" s="159">
        <v>13025</v>
      </c>
      <c r="AK35" s="145">
        <v>8141</v>
      </c>
      <c r="AL35" s="31"/>
      <c r="AM35" s="187">
        <v>31410</v>
      </c>
      <c r="AN35" s="31"/>
      <c r="AO35" s="31">
        <v>24506</v>
      </c>
      <c r="AP35" s="31"/>
      <c r="AQ35" s="31">
        <f t="shared" si="0"/>
        <v>3510</v>
      </c>
      <c r="AR35" s="31"/>
      <c r="AS35" s="31"/>
      <c r="AT35" s="97" t="str" cm="1">
        <f t="array" aca="1" ref="AT35" ca="1">IF(Info_Productos_Cuantitativo[[#This Row],[Tipo de anualización]]="","Seleccionar Anualización",IF(COUNTIF(Cuantitativo_Productos[[#This Row],[1er Trimestre 2018]:[4o Trimestre 2018]],"="&amp;"")=4,"",IF(Info_Productos_Cuantitativo[[#This Row],[Tipo de anualización]]="Creciente",IF(COUNTIF(Cuantitativo_Productos[[#This Row],[1er Trimestre 2018]:[4o Trimestre 2018]],"&lt;"&amp;Info_Productos_Cuantitativo[[#This Row],[Valor Linea Base]])&gt;=1,"ERROR, el valor reportado es inferior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2018]]))),1))&lt;INDEX(Cuantitativo_Productos[[#This Row],[1er Trimestre 2018]:[4o Trimestre 2018]],LARGE((Cuantitativo_Productos[[#This Row],[1er Trimestre 2018]:[4o Trimestre 2018]]&lt;&gt;"")*(_xlfn.SEQUENCE(,COUNTA(Cuantitativo_Productos[[#Headers],[1er Trimestre 2018]:[4o Trimestre 2018]]))),2)),"ERROR, El reporte de avance actual debe ser mayor o igual al último valor reportado",OFFSET(Cuantitativo_Productos[[#This Row],[1er Trimestre 2018]],0,MATCH(MAX(Cuantitativo_Productos[[#This Row],[1er Trimestre 2018]:[4o Trimestre 2018]])+1,Cuantitativo_Productos[[#This Row],[1er Trimestre 2018]:[4o Trimestre 2018]],1)-1)))),IF(Info_Productos_Cuantitativo[[#This Row],[Tipo de anualización]]="Constante",OFFSET(Cuantitativo_Productos[[#This Row],[1er Trimestre 2018]],0,MATCH(MAX(Cuantitativo_Productos[[#This Row],[1er Trimestre 2018]:[4o Trimestre 2018]])+1,Cuantitativo_Productos[[#This Row],[1er Trimestre 2018]:[4o Trimestre 2018]],1)-1),IF(Info_Productos_Cuantitativo[[#This Row],[Tipo de anualización]]="Suma",SUM(Cuantitativo_Productos[[#This Row],[1er Trimestre 2018]:[4o Trimestre 2018]]),IF(Info_Productos_Cuantitativo[[#This Row],[Tipo de anualización]]="Decreciente",IF(COUNTIF(Cuantitativo_Productos[[#This Row],[1er Trimestre 2018]:[4o Trimestre 2018]],"&gt;"&amp;Info_Productos_Cuantitativo[[#This Row],[Valor Linea Base]])&gt;=1,"ERROR, el valor reportado es superior a la Línea Base",IF(COUNTIF(Cuantitativo_Productos[[#This Row],[1er Trimestre 2018]:[4o Trimestre 2018]],"="&amp;"")=3,OFFSET(Cuantitativo_Productos[[#This Row],[1er Trimestre 2018]],0,MATCH(MAX(Cuantitativo_Productos[[#This Row],[1er Trimestre 2018]:[4o Trimestre 2018]])+1,Cuantitativo_Productos[[#This Row],[1er Trimestre 2018]:[4o Trimestre 2018]],1)-1),IF(INDEX(Cuantitativo_Productos[[#This Row],[1er Trimestre 2018]:[4o Trimestre 2018]],LARGE((Cuantitativo_Productos[[#This Row],[1er Trimestre 2018]:[4o Trimestre 2018]]&lt;&gt;"")*(_xlfn.SEQUENCE(,COUNTA(Cuantitativo_Productos[[#Headers],[1er Trimestre 2018]:[4o Trimestre 2018]]))),1))&gt;INDEX(Cuantitativo_Productos[[#This Row],[1er Trimestre 2018]:[4o Trimestre 2018]],LARGE((Cuantitativo_Productos[[#This Row],[1er Trimestre 2018]:[4o Trimestre 2018]]&lt;&gt;"")*(_xlfn.SEQUENCE(,COUNTA(Cuantitativo_Productos[[#Headers],[1er Trimestre 2018]:[4o Trimestre 2018]]))),2)),"ERROR, El reporte de avance actual debe ser menor o igual al último valor reportado",OFFSET(Cuantitativo_Productos[[#This Row],[1er Trimestre 2018]],0,MATCH(MAX(Cuantitativo_Productos[[#This Row],[1er Trimestre 2018]:[4o Trimestre 2018]])+1,Cuantitativo_Productos[[#This Row],[1er Trimestre 2018]:[4o Trimestre 2018]],1)-1))))))))))</f>
        <v/>
      </c>
      <c r="AU35" s="97" t="str" cm="1">
        <f t="array" aca="1" ref="AU35" ca="1">IF(Info_Productos_Cuantitativo[[#This Row],[Tipo de anualización]]="","Seleccionar Anualización",IF(COUNTIF(Cuantitativo_Productos[[#This Row],[1er Trimestre 2018]:[4o Trimestre 2019]],"="&amp;"")=8,"",IF(Info_Productos_Cuantitativo[[#This Row],[Tipo de anualización]]="Creciente",IF(COUNTIF(Cuantitativo_Productos[[#This Row],[1er Trimestre 2018]:[4o Trimestre 2019]],"&lt;"&amp;Info_Productos_Cuantitativo[[#This Row],[Valor Linea Base]])&gt;=1,"ERROR, el valor reportado es inferior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2019]]))),1))&lt;INDEX(Cuantitativo_Productos[[#This Row],[1er Trimestre 2018]:[4o Trimestre 2019]],LARGE((Cuantitativo_Productos[[#This Row],[1er Trimestre 2018]:[4o Trimestre 2019]]&lt;&gt;"")*(_xlfn.SEQUENCE(,COUNTA(Cuantitativo_Productos[[#Headers],[1er Trimestre 2018]:[4o Trimestre 2019]]))),2)),"ERROR, El reporte de avance actual debe ser mayor o igual al último valor reportado",OFFSET(Cuantitativo_Productos[[#This Row],[1er Trimestre 2018]],0,MATCH(MAX(Cuantitativo_Productos[[#This Row],[1er Trimestre 2018]:[4o Trimestre 2019]])+1,Cuantitativo_Productos[[#This Row],[1er Trimestre 2018]:[4o Trimestre 2019]],1)-1)))),IF(Info_Productos_Cuantitativo[[#This Row],[Tipo de anualización]]="Constante",OFFSET(Cuantitativo_Productos[[#This Row],[1er Trimestre 2018]],0,MATCH(MAX(Cuantitativo_Productos[[#This Row],[1er Trimestre 2018]:[4o Trimestre 2019]])+1,Cuantitativo_Productos[[#This Row],[1er Trimestre 2018]:[4o Trimestre 2019]],1)-1),IF(Info_Productos_Cuantitativo[[#This Row],[Tipo de anualización]]="Suma",SUM(Cuantitativo_Productos[[#This Row],[1er Trimestre 2018]:[4o Trimestre 2019]]),IF(Info_Productos_Cuantitativo[[#This Row],[Tipo de anualización]]="Decreciente",IF(COUNTIF(Cuantitativo_Productos[[#This Row],[1er Trimestre 2018]:[4o Trimestre 2019]],"&gt;"&amp;Info_Productos_Cuantitativo[[#This Row],[Valor Linea Base]])&gt;=1,"ERROR, el valor reportado es superior a la Línea Base",IF(COUNTIF(Cuantitativo_Productos[[#This Row],[1er Trimestre 2018]:[4o Trimestre 2019]],"="&amp;"")=7,OFFSET(Cuantitativo_Productos[[#This Row],[1er Trimestre 2018]],0,MATCH(MAX(Cuantitativo_Productos[[#This Row],[1er Trimestre 2018]:[4o Trimestre 2019]])+1,Cuantitativo_Productos[[#This Row],[1er Trimestre 2018]:[4o Trimestre 2019]],1)-1),IF(INDEX(Cuantitativo_Productos[[#This Row],[1er Trimestre 2018]:[4o Trimestre 2019]],LARGE((Cuantitativo_Productos[[#This Row],[1er Trimestre 2018]:[4o Trimestre 2019]]&lt;&gt;"")*(_xlfn.SEQUENCE(,COUNTA(Cuantitativo_Productos[[#Headers],[1er Trimestre 2018]:[4o Trimestre 2019]]))),1))&gt;INDEX(Cuantitativo_Productos[[#This Row],[1er Trimestre 2018]:[4o Trimestre 2019]],LARGE((Cuantitativo_Productos[[#This Row],[1er Trimestre 2018]:[4o Trimestre 2019]]&lt;&gt;"")*(_xlfn.SEQUENCE(,COUNTA(Cuantitativo_Productos[[#Headers],[1er Trimestre 2018]:[4o Trimestre 2019]]))),2)),"ERROR, El reporte de avance actual debe ser menor o igual al último valor reportado",OFFSET(Cuantitativo_Productos[[#This Row],[1er Trimestre 2018]],0,MATCH(MAX(Cuantitativo_Productos[[#This Row],[1er Trimestre 2018]:[4o Trimestre 2019]])+1,Cuantitativo_Productos[[#This Row],[1er Trimestre 2018]:[4o Trimestre 2019]],1)-1))))))))))</f>
        <v/>
      </c>
      <c r="AV35" s="97" t="str" cm="1">
        <f t="array" aca="1" ref="AV35" ca="1">IF(Info_Productos_Cuantitativo[[#This Row],[Tipo de anualización]]="","Seleccionar Anualización",IF(COUNTIF(Cuantitativo_Productos[[#This Row],[1er Trimestre 2018]:[4o Trimestre 2020]],"="&amp;"")=12,"",IF(Info_Productos_Cuantitativo[[#This Row],[Tipo de anualización]]="Creciente",IF(COUNTIF(Cuantitativo_Productos[[#This Row],[1er Trimestre 2018]:[4o Trimestre 2020]],"&lt;"&amp;Info_Productos_Cuantitativo[[#This Row],[Valor Linea Base]])&gt;=1,"ERROR, el valor reportado es inferior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2020]]))),1))&lt;INDEX(Cuantitativo_Productos[[#This Row],[1er Trimestre 2018]:[4o Trimestre 2020]],LARGE((Cuantitativo_Productos[[#This Row],[1er Trimestre 2018]:[4o Trimestre 2020]]&lt;&gt;"")*(_xlfn.SEQUENCE(,COUNTA(Cuantitativo_Productos[[#Headers],[1er Trimestre 2018]:[4o Trimestre 2020]]))),2)),"ERROR, El reporte de avance actual debe ser mayor o igual al último valor reportado",OFFSET(Cuantitativo_Productos[[#This Row],[1er Trimestre 2018]],0,MATCH(MAX(Cuantitativo_Productos[[#This Row],[1er Trimestre 2018]:[4o Trimestre 2020]])+1,Cuantitativo_Productos[[#This Row],[1er Trimestre 2018]:[4o Trimestre 2020]],1)-1)))),IF(Info_Productos_Cuantitativo[[#This Row],[Tipo de anualización]]="Constante",OFFSET(Cuantitativo_Productos[[#This Row],[1er Trimestre 2018]],0,MATCH(MAX(Cuantitativo_Productos[[#This Row],[1er Trimestre 2018]:[4o Trimestre 2020]])+1,Cuantitativo_Productos[[#This Row],[1er Trimestre 2018]:[4o Trimestre 2020]],1)-1),IF(Info_Productos_Cuantitativo[[#This Row],[Tipo de anualización]]="Suma",SUM(Cuantitativo_Productos[[#This Row],[1er Trimestre 2018]:[4o Trimestre 2020]]),IF(Info_Productos_Cuantitativo[[#This Row],[Tipo de anualización]]="Decreciente",IF(COUNTIF(Cuantitativo_Productos[[#This Row],[1er Trimestre 2018]:[4o Trimestre 2020]],"&gt;"&amp;Info_Productos_Cuantitativo[[#This Row],[Valor Linea Base]])&gt;=1,"ERROR, el valor reportado es superior a la Línea Base",IF(COUNTIF(Cuantitativo_Productos[[#This Row],[1er Trimestre 2018]:[4o Trimestre 2020]],"="&amp;"")=11,OFFSET(Cuantitativo_Productos[[#This Row],[1er Trimestre 2018]],0,MATCH(MAX(Cuantitativo_Productos[[#This Row],[1er Trimestre 2018]:[4o Trimestre 2020]])+1,Cuantitativo_Productos[[#This Row],[1er Trimestre 2018]:[4o Trimestre 2020]],1)-1),IF(INDEX(Cuantitativo_Productos[[#This Row],[1er Trimestre 2018]:[4o Trimestre 2020]],LARGE((Cuantitativo_Productos[[#This Row],[1er Trimestre 2018]:[4o Trimestre 2020]]&lt;&gt;"")*(_xlfn.SEQUENCE(,COUNTA(Cuantitativo_Productos[[#Headers],[1er Trimestre 2018]:[4o Trimestre 2020]]))),1))&gt;INDEX(Cuantitativo_Productos[[#This Row],[1er Trimestre 2018]:[4o Trimestre 2020]],LARGE((Cuantitativo_Productos[[#This Row],[1er Trimestre 2018]:[4o Trimestre 2020]]&lt;&gt;"")*(_xlfn.SEQUENCE(,COUNTA(Cuantitativo_Productos[[#Headers],[1er Trimestre 2018]:[4o Trimestre 2020]]))),2)),"ERROR, El reporte de avance actual debe ser menor o igual al último valor reportado",OFFSET(Cuantitativo_Productos[[#This Row],[1er Trimestre 2018]],0,MATCH(MAX(Cuantitativo_Productos[[#This Row],[1er Trimestre 2018]:[4o Trimestre 2020]])+1,Cuantitativo_Productos[[#This Row],[1er Trimestre 2018]:[4o Trimestre 2020]],1)-1))))))))))</f>
        <v/>
      </c>
      <c r="AW35" s="97" t="str" cm="1">
        <f t="array" aca="1" ref="AW35" ca="1">IF(Info_Productos_Cuantitativo[[#This Row],[Tipo de anualización]]="","Seleccionar Anualización",IF(COUNTIF(Cuantitativo_Productos[[#This Row],[1er Trimestre 2018]:[4o Trimestre 2021]],"="&amp;"")=16,"",IF(Info_Productos_Cuantitativo[[#This Row],[Tipo de anualización]]="Creciente",IF(COUNTIF(Cuantitativo_Productos[[#This Row],[1er Trimestre 2018]:[4o Trimestre 2021]],"&lt;"&amp;Info_Productos_Cuantitativo[[#This Row],[Valor Linea Base]])&gt;=1,"ERROR, el valor reportado es inferior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2021]]))),1))&lt;INDEX(Cuantitativo_Productos[[#This Row],[1er Trimestre 2018]:[4o Trimestre 2021]],LARGE((Cuantitativo_Productos[[#This Row],[1er Trimestre 2018]:[4o Trimestre 2021]]&lt;&gt;"")*(_xlfn.SEQUENCE(,COUNTA(Cuantitativo_Productos[[#Headers],[1er Trimestre 2018]:[4o Trimestre 2021]]))),2)),"ERROR, El reporte de avance actual debe ser mayor o igual al último valor reportado",OFFSET(Cuantitativo_Productos[[#This Row],[1er Trimestre 2018]],0,MATCH(MAX(Cuantitativo_Productos[[#This Row],[1er Trimestre 2018]:[4o Trimestre 2021]])+1,Cuantitativo_Productos[[#This Row],[1er Trimestre 2018]:[4o Trimestre 2021]],1)-1)))),IF(Info_Productos_Cuantitativo[[#This Row],[Tipo de anualización]]="Constante",OFFSET(Cuantitativo_Productos[[#This Row],[1er Trimestre 2018]],0,MATCH(MAX(Cuantitativo_Productos[[#This Row],[1er Trimestre 2018]:[4o Trimestre 2021]])+1,Cuantitativo_Productos[[#This Row],[1er Trimestre 2018]:[4o Trimestre 2021]],1)-1),IF(Info_Productos_Cuantitativo[[#This Row],[Tipo de anualización]]="Suma",SUM(Cuantitativo_Productos[[#This Row],[1er Trimestre 2018]:[4o Trimestre 2021]]),IF(Info_Productos_Cuantitativo[[#This Row],[Tipo de anualización]]="Decreciente",IF(COUNTIF(Cuantitativo_Productos[[#This Row],[1er Trimestre 2018]:[4o Trimestre 2021]],"&gt;"&amp;Info_Productos_Cuantitativo[[#This Row],[Valor Linea Base]])&gt;=1,"ERROR, el valor reportado es superior a la Línea Base",IF(COUNTIF(Cuantitativo_Productos[[#This Row],[1er Trimestre 2018]:[4o Trimestre 2021]],"="&amp;"")=15,OFFSET(Cuantitativo_Productos[[#This Row],[1er Trimestre 2018]],0,MATCH(MAX(Cuantitativo_Productos[[#This Row],[1er Trimestre 2018]:[4o Trimestre 2021]])+1,Cuantitativo_Productos[[#This Row],[1er Trimestre 2018]:[4o Trimestre 2021]],1)-1),IF(INDEX(Cuantitativo_Productos[[#This Row],[1er Trimestre 2018]:[4o Trimestre 2021]],LARGE((Cuantitativo_Productos[[#This Row],[1er Trimestre 2018]:[4o Trimestre 2021]]&lt;&gt;"")*(_xlfn.SEQUENCE(,COUNTA(Cuantitativo_Productos[[#Headers],[1er Trimestre 2018]:[4o Trimestre 2021]]))),1))&gt;INDEX(Cuantitativo_Productos[[#This Row],[1er Trimestre 2018]:[4o Trimestre 2021]],LARGE((Cuantitativo_Productos[[#This Row],[1er Trimestre 2018]:[4o Trimestre 2021]]&lt;&gt;"")*(_xlfn.SEQUENCE(,COUNTA(Cuantitativo_Productos[[#Headers],[1er Trimestre 2018]:[4o Trimestre 2021]]))),2)),"ERROR, El reporte de avance actual debe ser menor o igual al último valor reportado",OFFSET(Cuantitativo_Productos[[#This Row],[1er Trimestre 2018]],0,MATCH(MAX(Cuantitativo_Productos[[#This Row],[1er Trimestre 2018]:[4o Trimestre 2021]])+1,Cuantitativo_Productos[[#This Row],[1er Trimestre 2018]:[4o Trimestre 2021]],1)-1))))))))))</f>
        <v/>
      </c>
      <c r="AX35" s="97" cm="1">
        <f t="array" aca="1" ref="AX35" ca="1">IF(Info_Productos_Cuantitativo[[#This Row],[Tipo de anualización]]="","Seleccionar Anualización",IF(COUNTIF(Cuantitativo_Productos[[#This Row],[1er Trimestre 2018]:[4o Trimestre 2022]],"="&amp;"")=20,"",IF(Info_Productos_Cuantitativo[[#This Row],[Tipo de anualización]]="Creciente",IF(COUNTIF(Cuantitativo_Productos[[#This Row],[1er Trimestre 2018]:[4o Trimestre 2022]],"&lt;"&amp;Info_Productos_Cuantitativo[[#This Row],[Valor Linea Base]])&gt;=1,"ERROR, el valor reportado es inferior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2022]]))),1))&lt;INDEX(Cuantitativo_Productos[[#This Row],[1er Trimestre 2018]:[4o Trimestre 2022]],LARGE((Cuantitativo_Productos[[#This Row],[1er Trimestre 2018]:[4o Trimestre 2022]]&lt;&gt;"")*(_xlfn.SEQUENCE(,COUNTA(Cuantitativo_Productos[[#Headers],[1er Trimestre 2018]:[4o Trimestre 2022]]))),2)),"ERROR, El reporte de avance actual debe ser mayor o igual al último valor reportado",OFFSET(Cuantitativo_Productos[[#This Row],[1er Trimestre 2018]],0,MATCH(MAX(Cuantitativo_Productos[[#This Row],[1er Trimestre 2018]:[4o Trimestre 2022]])+1,Cuantitativo_Productos[[#This Row],[1er Trimestre 2018]:[4o Trimestre 2022]],1)-1)))),IF(Info_Productos_Cuantitativo[[#This Row],[Tipo de anualización]]="Constante",OFFSET(Cuantitativo_Productos[[#This Row],[1er Trimestre 2018]],0,MATCH(MAX(Cuantitativo_Productos[[#This Row],[1er Trimestre 2018]:[4o Trimestre 2022]])+1,Cuantitativo_Productos[[#This Row],[1er Trimestre 2018]:[4o Trimestre 2022]],1)-1),IF(Info_Productos_Cuantitativo[[#This Row],[Tipo de anualización]]="Suma",SUM(Cuantitativo_Productos[[#This Row],[1er Trimestre 2018]:[4o Trimestre 2022]]),IF(Info_Productos_Cuantitativo[[#This Row],[Tipo de anualización]]="Decreciente",IF(COUNTIF(Cuantitativo_Productos[[#This Row],[1er Trimestre 2018]:[4o Trimestre 2022]],"&gt;"&amp;Info_Productos_Cuantitativo[[#This Row],[Valor Linea Base]])&gt;=1,"ERROR, el valor reportado es superior a la Línea Base",IF(COUNTIF(Cuantitativo_Productos[[#This Row],[1er Trimestre 2018]:[4o Trimestre 2022]],"="&amp;"")=19,OFFSET(Cuantitativo_Productos[[#This Row],[1er Trimestre 2018]],0,MATCH(MAX(Cuantitativo_Productos[[#This Row],[1er Trimestre 2018]:[4o Trimestre 2022]])+1,Cuantitativo_Productos[[#This Row],[1er Trimestre 2018]:[4o Trimestre 2022]],1)-1),IF(INDEX(Cuantitativo_Productos[[#This Row],[1er Trimestre 2018]:[4o Trimestre 2022]],LARGE((Cuantitativo_Productos[[#This Row],[1er Trimestre 2018]:[4o Trimestre 2022]]&lt;&gt;"")*(_xlfn.SEQUENCE(,COUNTA(Cuantitativo_Productos[[#Headers],[1er Trimestre 2018]:[4o Trimestre 2022]]))),1))&gt;INDEX(Cuantitativo_Productos[[#This Row],[1er Trimestre 2018]:[4o Trimestre 2022]],LARGE((Cuantitativo_Productos[[#This Row],[1er Trimestre 2018]:[4o Trimestre 2022]]&lt;&gt;"")*(_xlfn.SEQUENCE(,COUNTA(Cuantitativo_Productos[[#Headers],[1er Trimestre 2018]:[4o Trimestre 2022]]))),2)),"ERROR, El reporte de avance actual debe ser menor o igual al último valor reportado",OFFSET(Cuantitativo_Productos[[#This Row],[1er Trimestre 2018]],0,MATCH(MAX(Cuantitativo_Productos[[#This Row],[1er Trimestre 2018]:[4o Trimestre 2022]])+1,Cuantitativo_Productos[[#This Row],[1er Trimestre 2018]:[4o Trimestre 2022]],1)-1))))))))))</f>
        <v>26396</v>
      </c>
      <c r="AY35" s="97" cm="1">
        <f t="array" aca="1" ref="AY35" ca="1">IF(Info_Productos_Cuantitativo[[#This Row],[Tipo de anualización]]="","Seleccionar Anualización",IF(COUNTIF(Cuantitativo_Productos[[#This Row],[1er Trimestre 2018]:[4o Trimestre 2023]],"="&amp;"")=24,"",IF(Info_Productos_Cuantitativo[[#This Row],[Tipo de anualización]]="Creciente",IF(COUNTIF(Cuantitativo_Productos[[#This Row],[1er Trimestre 2018]:[4o Trimestre 2023]],"&lt;"&amp;Info_Productos_Cuantitativo[[#This Row],[Valor Linea Base]])&gt;=1,"ERROR, el valor reportado es inferior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2023]]))),1))&lt;INDEX(Cuantitativo_Productos[[#This Row],[1er Trimestre 2018]:[4o Trimestre 2023]],LARGE((Cuantitativo_Productos[[#This Row],[1er Trimestre 2018]:[4o Trimestre 2023]]&lt;&gt;"")*(_xlfn.SEQUENCE(,COUNTA(Cuantitativo_Productos[[#Headers],[1er Trimestre 2018]:[4o Trimestre 2023]]))),2)),"ERROR, El reporte de avance actual debe ser mayor o igual al último valor reportado",OFFSET(Cuantitativo_Productos[[#This Row],[1er Trimestre 2018]],0,MATCH(MAX(Cuantitativo_Productos[[#This Row],[1er Trimestre 2018]:[4o Trimestre 2023]])+1,Cuantitativo_Productos[[#This Row],[1er Trimestre 2018]:[4o Trimestre 2023]],1)-1)))),IF(Info_Productos_Cuantitativo[[#This Row],[Tipo de anualización]]="Constante",OFFSET(Cuantitativo_Productos[[#This Row],[1er Trimestre 2018]],0,MATCH(MAX(Cuantitativo_Productos[[#This Row],[1er Trimestre 2018]:[4o Trimestre 2023]])+1,Cuantitativo_Productos[[#This Row],[1er Trimestre 2018]:[4o Trimestre 2023]],1)-1),IF(Info_Productos_Cuantitativo[[#This Row],[Tipo de anualización]]="Suma",SUM(Cuantitativo_Productos[[#This Row],[1er Trimestre 2018]:[4o Trimestre 2023]]),IF(Info_Productos_Cuantitativo[[#This Row],[Tipo de anualización]]="Decreciente",IF(COUNTIF(Cuantitativo_Productos[[#This Row],[1er Trimestre 2018]:[4o Trimestre 2023]],"&gt;"&amp;Info_Productos_Cuantitativo[[#This Row],[Valor Linea Base]])&gt;=1,"ERROR, el valor reportado es superior a la Línea Base",IF(COUNTIF(Cuantitativo_Productos[[#This Row],[1er Trimestre 2018]:[4o Trimestre 2023]],"="&amp;"")=23,OFFSET(Cuantitativo_Productos[[#This Row],[1er Trimestre 2018]],0,MATCH(MAX(Cuantitativo_Productos[[#This Row],[1er Trimestre 2018]:[4o Trimestre 2023]])+1,Cuantitativo_Productos[[#This Row],[1er Trimestre 2018]:[4o Trimestre 2023]],1)-1),IF(INDEX(Cuantitativo_Productos[[#This Row],[1er Trimestre 2018]:[4o Trimestre 2023]],LARGE((Cuantitativo_Productos[[#This Row],[1er Trimestre 2018]:[4o Trimestre 2023]]&lt;&gt;"")*(_xlfn.SEQUENCE(,COUNTA(Cuantitativo_Productos[[#Headers],[1er Trimestre 2018]:[4o Trimestre 2023]]))),1))&gt;INDEX(Cuantitativo_Productos[[#This Row],[1er Trimestre 2018]:[4o Trimestre 2023]],LARGE((Cuantitativo_Productos[[#This Row],[1er Trimestre 2018]:[4o Trimestre 2023]]&lt;&gt;"")*(_xlfn.SEQUENCE(,COUNTA(Cuantitativo_Productos[[#Headers],[1er Trimestre 2018]:[4o Trimestre 2023]]))),2)),"ERROR, El reporte de avance actual debe ser menor o igual al último valor reportado",OFFSET(Cuantitativo_Productos[[#This Row],[1er Trimestre 2018]],0,MATCH(MAX(Cuantitativo_Productos[[#This Row],[1er Trimestre 2018]:[4o Trimestre 2023]])+1,Cuantitativo_Productos[[#This Row],[1er Trimestre 2018]:[4o Trimestre 2023]],1)-1))))))))))</f>
        <v>8141</v>
      </c>
      <c r="AZ35" s="97" cm="1">
        <f t="array" aca="1" ref="AZ35" ca="1">IF(Info_Productos_Cuantitativo[[#This Row],[Tipo de anualización]]="","Seleccionar Anualización",IF(COUNTIF(Cuantitativo_Productos[[#This Row],[1er Trimestre 2018]:[4o Trimestre 2024]],"="&amp;"")=28,"",IF(Info_Productos_Cuantitativo[[#This Row],[Tipo de anualización]]="Creciente",IF(COUNTIF(Cuantitativo_Productos[[#This Row],[1er Trimestre 2018]:[4o Trimestre 2024]],"&lt;"&amp;Info_Productos_Cuantitativo[[#This Row],[Valor Linea Base]])&gt;=1,"ERROR, el valor reportado es inferior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2024]]))),1))&lt;INDEX(Cuantitativo_Productos[[#This Row],[1er Trimestre 2018]:[4o Trimestre 2024]],LARGE((Cuantitativo_Productos[[#This Row],[1er Trimestre 2018]:[4o Trimestre 2024]]&lt;&gt;"")*(_xlfn.SEQUENCE(,COUNTA(Cuantitativo_Productos[[#Headers],[1er Trimestre 2018]:[4o Trimestre 2024]]))),2)),"ERROR, El reporte de avance actual debe ser mayor o igual al último valor reportado",OFFSET(Cuantitativo_Productos[[#This Row],[1er Trimestre 2018]],0,MATCH(MAX(Cuantitativo_Productos[[#This Row],[1er Trimestre 2018]:[4o Trimestre 2024]])+1,Cuantitativo_Productos[[#This Row],[1er Trimestre 2018]:[4o Trimestre 2024]],1)-1)))),IF(Info_Productos_Cuantitativo[[#This Row],[Tipo de anualización]]="Constante",OFFSET(Cuantitativo_Productos[[#This Row],[1er Trimestre 2018]],0,MATCH(MAX(Cuantitativo_Productos[[#This Row],[1er Trimestre 2018]:[4o Trimestre 2024]])+1,Cuantitativo_Productos[[#This Row],[1er Trimestre 2018]:[4o Trimestre 2024]],1)-1),IF(Info_Productos_Cuantitativo[[#This Row],[Tipo de anualización]]="Suma",SUM(Cuantitativo_Productos[[#This Row],[1er Trimestre 2018]:[4o Trimestre 2024]]),IF(Info_Productos_Cuantitativo[[#This Row],[Tipo de anualización]]="Decreciente",IF(COUNTIF(Cuantitativo_Productos[[#This Row],[1er Trimestre 2018]:[4o Trimestre 2024]],"&gt;"&amp;Info_Productos_Cuantitativo[[#This Row],[Valor Linea Base]])&gt;=1,"ERROR, el valor reportado es superior a la Línea Base",IF(COUNTIF(Cuantitativo_Productos[[#This Row],[1er Trimestre 2018]:[4o Trimestre 2024]],"="&amp;"")=27,OFFSET(Cuantitativo_Productos[[#This Row],[1er Trimestre 2018]],0,MATCH(MAX(Cuantitativo_Productos[[#This Row],[1er Trimestre 2018]:[4o Trimestre 2024]])+1,Cuantitativo_Productos[[#This Row],[1er Trimestre 2018]:[4o Trimestre 2024]],1)-1),IF(INDEX(Cuantitativo_Productos[[#This Row],[1er Trimestre 2018]:[4o Trimestre 2024]],LARGE((Cuantitativo_Productos[[#This Row],[1er Trimestre 2018]:[4o Trimestre 2024]]&lt;&gt;"")*(_xlfn.SEQUENCE(,COUNTA(Cuantitativo_Productos[[#Headers],[1er Trimestre 2018]:[4o Trimestre 2024]]))),1))&gt;INDEX(Cuantitativo_Productos[[#This Row],[1er Trimestre 2018]:[4o Trimestre 2024]],LARGE((Cuantitativo_Productos[[#This Row],[1er Trimestre 2018]:[4o Trimestre 2024]]&lt;&gt;"")*(_xlfn.SEQUENCE(,COUNTA(Cuantitativo_Productos[[#Headers],[1er Trimestre 2018]:[4o Trimestre 2024]]))),2)),"ERROR, El reporte de avance actual debe ser menor o igual al último valor reportado",OFFSET(Cuantitativo_Productos[[#This Row],[1er Trimestre 2018]],0,MATCH(MAX(Cuantitativo_Productos[[#This Row],[1er Trimestre 2018]:[4o Trimestre 2024]])+1,Cuantitativo_Productos[[#This Row],[1er Trimestre 2018]:[4o Trimestre 2024]],1)-1))))))))))</f>
        <v>24506</v>
      </c>
      <c r="BA35" s="97" cm="1">
        <f t="array" aca="1" ref="BA35" ca="1">IF(Info_Productos_Cuantitativo[[#This Row],[Tipo de anualización]]="","Seleccionar Anualización",IF(COUNTIF(Cuantitativo_Productos[[#This Row],[1er Trimestre 2018]:[4o Trimestre 2025]],"="&amp;"")=32,"",IF(Info_Productos_Cuantitativo[[#This Row],[Tipo de anualización]]="Creciente",IF(COUNTIF(Cuantitativo_Productos[[#This Row],[1er Trimestre 2018]:[4o Trimestre 2025]],"&lt;"&amp;Info_Productos_Cuantitativo[[#This Row],[Valor Linea Base]])&gt;=1,"ERROR, el valor reportado es inferior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2025]]))),1))&lt;INDEX(Cuantitativo_Productos[[#This Row],[1er Trimestre 2018]:[4o Trimestre 2025]],LARGE((Cuantitativo_Productos[[#This Row],[1er Trimestre 2018]:[4o Trimestre 2025]]&lt;&gt;"")*(_xlfn.SEQUENCE(,COUNTA(Cuantitativo_Productos[[#Headers],[1er Trimestre 2018]:[4o Trimestre 2025]]))),2)),"ERROR, El reporte de avance actual debe ser mayor o igual al último valor reportado",OFFSET(Cuantitativo_Productos[[#This Row],[1er Trimestre 2018]],0,MATCH(MAX(Cuantitativo_Productos[[#This Row],[1er Trimestre 2018]:[4o Trimestre 2025]])+1,Cuantitativo_Productos[[#This Row],[1er Trimestre 2018]:[4o Trimestre 2025]],1)-1)))),IF(Info_Productos_Cuantitativo[[#This Row],[Tipo de anualización]]="Constante",OFFSET(Cuantitativo_Productos[[#This Row],[1er Trimestre 2018]],0,MATCH(MAX(Cuantitativo_Productos[[#This Row],[1er Trimestre 2018]:[4o Trimestre 2025]])+1,Cuantitativo_Productos[[#This Row],[1er Trimestre 2018]:[4o Trimestre 2025]],1)-1),IF(Info_Productos_Cuantitativo[[#This Row],[Tipo de anualización]]="Suma",SUM(Cuantitativo_Productos[[#This Row],[1er Trimestre 2018]:[4o Trimestre 2025]]),IF(Info_Productos_Cuantitativo[[#This Row],[Tipo de anualización]]="Decreciente",IF(COUNTIF(Cuantitativo_Productos[[#This Row],[1er Trimestre 2018]:[4o Trimestre 2025]],"&gt;"&amp;Info_Productos_Cuantitativo[[#This Row],[Valor Linea Base]])&gt;=1,"ERROR, el valor reportado es superior a la Línea Base",IF(COUNTIF(Cuantitativo_Productos[[#This Row],[1er Trimestre 2018]:[4o Trimestre 2025]],"="&amp;"")=31,OFFSET(Cuantitativo_Productos[[#This Row],[1er Trimestre 2018]],0,MATCH(MAX(Cuantitativo_Productos[[#This Row],[1er Trimestre 2018]:[4o Trimestre 2025]])+1,Cuantitativo_Productos[[#This Row],[1er Trimestre 2018]:[4o Trimestre 2025]],1)-1),IF(INDEX(Cuantitativo_Productos[[#This Row],[1er Trimestre 2018]:[4o Trimestre 2025]],LARGE((Cuantitativo_Productos[[#This Row],[1er Trimestre 2018]:[4o Trimestre 2025]]&lt;&gt;"")*(_xlfn.SEQUENCE(,COUNTA(Cuantitativo_Productos[[#Headers],[1er Trimestre 2018]:[4o Trimestre 2025]]))),1))&gt;INDEX(Cuantitativo_Productos[[#This Row],[1er Trimestre 2018]:[4o Trimestre 2025]],LARGE((Cuantitativo_Productos[[#This Row],[1er Trimestre 2018]:[4o Trimestre 2025]]&lt;&gt;"")*(_xlfn.SEQUENCE(,COUNTA(Cuantitativo_Productos[[#Headers],[1er Trimestre 2018]:[4o Trimestre 2025]]))),2)),"ERROR, El reporte de avance actual debe ser menor o igual al último valor reportado",OFFSET(Cuantitativo_Productos[[#This Row],[1er Trimestre 2018]],0,MATCH(MAX(Cuantitativo_Productos[[#This Row],[1er Trimestre 2018]:[4o Trimestre 2025]])+1,Cuantitativo_Productos[[#This Row],[1er Trimestre 2018]:[4o Trimestre 2025]],1)-1))))))))))</f>
        <v>3510</v>
      </c>
      <c r="BB35" s="28"/>
      <c r="BC35" s="31"/>
      <c r="BD35" s="31"/>
      <c r="BE35" s="31"/>
      <c r="BF35" s="16">
        <v>69661</v>
      </c>
      <c r="BG35" s="17">
        <v>69661</v>
      </c>
      <c r="BH35" s="176">
        <v>69661</v>
      </c>
      <c r="BI35" s="176">
        <v>69661</v>
      </c>
      <c r="BJ35" s="184">
        <v>69661</v>
      </c>
      <c r="BK35" s="97" t="str" cm="1">
        <f t="array" aca="1" ref="BK35" ca="1">IF(Info_Productos_Cuantitativo[[#This Row],[Tipo de anualización]]="","Seleccionar Anualización",IF(COUNTIF(Metas_Productos[[#This Row],[2018]],"="&amp;"")=1,"",IF(AND(OR(Info_Productos_Cuantitativo[[#This Row],[Tipo de anualización]]="Creciente",Info_Productos_Cuantitativo[[#This Row],[Tipo de anualización]]="Constante",Info_Productos_Cuantitativo[[#This Row],[Tipo de anualización]]="Suma"),Metas_Productos[[#This Row],[2018]]&gt;Metas_Productos[[#This Row],[Meta Final]]),"ERROR, las metas de las vigencias no pueden ser mayores a la meta final",IF(AND(Info_Productos_Cuantitativo[[#This Row],[Tipo de anualización]]="Decreciente",Metas_Productos[[#This Row],[2018]]&lt;Metas_Productos[[#This Row],[Meta Final]]),"ERROR, las metas de las vigencias no pueden ser menores a la meta final",IF(OR(Info_Productos_Cuantitativo[[#This Row],[Tipo de anualización]]="Creciente",Info_Productos_Cuantitativo[[#This Row],[Tipo de anualización]]="Constante",Info_Productos_Cuantitativo[[#This Row],[Tipo de anualización]]="Suma",Info_Productos_Cuantitativo[[#This Row],[Tipo de anualización]]="Decreciente"),IF((MAX(COLUMN(Cuantitativo_Productos[[#This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2018]])+1)=1,OFFSET(Metas_Productos[[#This Row],[2018]],0,MATCH(MAX(Metas_Productos[[#This Row],[2018]])+1,Metas_Productos[[#This Row],[2018]],1)-1)/4,IF((MAX(COLUMN(Cuantitativo_Productos[[#This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2018]])+1)=2,OFFSET(Metas_Productos[[#This Row],[2018]],0,MATCH(MAX(Metas_Productos[[#This Row],[2018]])+1,Metas_Productos[[#This Row],[2018]],1)-1)/2,IF((MAX(COLUMN(Cuantitativo_Productos[[#This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2018]])+1)=3,OFFSET(Metas_Productos[[#This Row],[2018]],0,MATCH(MAX(Metas_Productos[[#This Row],[2018]])+1,Metas_Productos[[#This Row],[2018]],1)-1)*3/4,IF((MAX(COLUMN(Cuantitativo_Productos[[#This Row],[1er Trimestre 2018]:[4o Trimestre 2018]])*(INDEX(INT(ISNUMBER(Cuantitativo_Productos[[#This Row],[1er Trimestre 2018]:[4o Trimestre 2018]])),LARGE((INT(ISNUMBER(Cuantitativo_Productos[[#This Row],[1er Trimestre 2018]:[4o Trimestre 2018]]))&lt;&gt;0)*(_xlfn.SEQUENCE(,COUNTA(Cuantitativo_Productos[[#Headers],[1er Trimestre 2018]:[4o Trimestre 2018]]))),1))=INT(ISNUMBER(Cuantitativo_Productos[[#This Row],[1er Trimestre 2018]:[4o Trimestre 2018]]))))-COLUMN(Cuantitativo_Productos[[#This Row],[1er Trimestre 2018]])+1)=4,OFFSET(Metas_Productos[[#This Row],[2018]],0,MATCH(MAX(Metas_Productos[[#This Row],[2018]])+1,Metas_Productos[[#This Row],[2018]],1)-1),)))))))))</f>
        <v/>
      </c>
      <c r="BL35" s="105" t="s" cm="1">
        <v>195</v>
      </c>
      <c r="BM35" s="105" t="s" cm="1">
        <v>195</v>
      </c>
      <c r="BN35" s="105" t="s" cm="1">
        <v>195</v>
      </c>
      <c r="BO35" s="105" cm="1">
        <v>69661</v>
      </c>
      <c r="BP35" s="121" cm="1">
        <v>69661</v>
      </c>
      <c r="BQ35" s="119" cm="1">
        <v>69661</v>
      </c>
      <c r="BR35" s="119" cm="1">
        <v>69661</v>
      </c>
      <c r="BS35" s="9" t="str" cm="1">
        <f t="array" aca="1" ref="BS35" ca="1">IF(OR(Metas_Productos[[#This Row],[2018]]=0,Cuantitativo_Productos[[#This Row],[Acumulado 2018]]="",SUMPRODUCT(--(Cuantitativo_Productos[[#This Row],[1er Trimestre 2018]:[4o Trimestre 2018]]&lt;&gt;""))=0),"",IF(Info_Productos_Cuantitativo[[#This Row],[Tipo de anualización]]="Creciente",(Cuantitativo_Productos[[#This Row],[Acumulado 2018]]-Anualiza_LB(Avance_en_Vigencia_Productos[[#Headers],[2018]],Info_Productos_Cuantitativo[[#This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anualización]]="Decreciente",(Avance_en_Vigencia_Productos[[#Headers],[2018]]-Anualiza_LB(Metas_Productos[[#Headers],[2018]],Info_Productos_Cuantitativo[[#This Row],[Año del último reporte]],Info_Productos_Cuantitativo[[#This Row],[Valor Linea Base]],Info_Productos_Cuantitativo[[#This Row],[Corte del último reporte]]))/(Metas_Productos[[#This Row],[Acumulada 2018]]-Anualiza_LB(Avance_en_Vigencia_Productos[[#Headers],[2018]],Info_Productos_Cuantitativo[[#This Row],[Año del último reporte]],Info_Productos_Cuantitativo[[#This Row],[Valor Linea Base]],Info_Productos_Cuantitativo[[#This Row],[Corte del último reporte]])),"Seleccionar Anualización")))))</f>
        <v/>
      </c>
      <c r="BT35" s="10" t="str" cm="1">
        <f t="array" aca="1" ref="BT35" ca="1">IF(OR(Metas_Productos[[#This Row],[2019]]=0,Cuantitativo_Productos[[#This Row],[Acumulado 2019]]="",SUMPRODUCT(--(Cuantitativo_Productos[[#This Row],[1er Trimestre 2019]:[4o Trimestre 2019]]&lt;&gt;""))=0),"",IF(Info_Productos_Cuantitativo[[#This Row],[Tipo de anualización]]="Creciente",(Cuantitativo_Productos[[#This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2019]])-_xlfn.NUMBERVALUE(Cuantitativo_Productos[[#This Row],[Acumulado 2018]]))/(_xlfn.NUMBERVALUE(Metas_Productos[[#This Row],[Acumulada 2019]])-_xlfn.NUMBERVALUE(Metas_Productos[[#This Row],[Acumulada 2018]])),IF(Info_Productos_Cuantitativo[[#This Row],[Tipo de anualización]]="Decreciente",(Cuantitativo_Productos[[#This Row],[Acumulado 2019]]-Anualiza_LB(Avance_en_Vigencia_Productos[[#Headers],[2019]],Info_Productos_Cuantitativo[[#This Row],[Año del último reporte]],Info_Productos_Cuantitativo[[#This Row],[Valor Linea Base]],Info_Productos_Cuantitativo[[#This Row],[Corte del último reporte]]))/(Metas_Productos[[#This Row],[Acumulada 2019]]-Anualiza_LB(Avance_en_Vigencia_Productos[[#Headers],[2019]],Info_Productos_Cuantitativo[[#This Row],[Año del último reporte]],Info_Productos_Cuantitativo[[#This Row],[Valor Linea Base]],Info_Productos_Cuantitativo[[#This Row],[Corte del último reporte]])),"Seleccionar Anualización")))))</f>
        <v/>
      </c>
      <c r="BU35" s="10" t="str" cm="1">
        <f t="array" aca="1" ref="BU35" ca="1">+IF(OR(Metas_Productos[[#This Row],[2020]]=0,Cuantitativo_Productos[[#This Row],[Acumulado 2020]]="",SUMPRODUCT(--(Cuantitativo_Productos[[#This Row],[1er Trimestre 2020]:[4o Trimestre 2020]]&lt;&gt;""))=0),"",IF(Info_Productos_Cuantitativo[[#This Row],[Tipo de anualización]]="Creciente",(Cuantitativo_Productos[[#This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2020]])-_xlfn.NUMBERVALUE(Cuantitativo_Productos[[#This Row],[Acumulado 2019]]))/(_xlfn.NUMBERVALUE(Metas_Productos[[#This Row],[Acumulada 2020]])-_xlfn.NUMBERVALUE(Metas_Productos[[#This Row],[Acumulada 2019]])),IF(Info_Productos_Cuantitativo[[#This Row],[Tipo de anualización]]="Decreciente",(Cuantitativo_Productos[[#This Row],[Acumulado 2020]]-Anualiza_LB(Avance_en_Vigencia_Productos[[#Headers],[2020]],Info_Productos_Cuantitativo[[#This Row],[Año del último reporte]],Info_Productos_Cuantitativo[[#This Row],[Valor Linea Base]],Info_Productos_Cuantitativo[[#This Row],[Corte del último reporte]]))/(Metas_Productos[[#This Row],[Acumulada 2020]]-Anualiza_LB(Avance_en_Vigencia_Productos[[#Headers],[2020]],Info_Productos_Cuantitativo[[#This Row],[Año del último reporte]],Info_Productos_Cuantitativo[[#This Row],[Valor Linea Base]],Info_Productos_Cuantitativo[[#This Row],[Corte del último reporte]])),"Seleccionar Anualización")))))</f>
        <v/>
      </c>
      <c r="BV35" s="10" t="str" cm="1">
        <f t="array" aca="1" ref="BV35" ca="1">+IF(OR(Metas_Productos[[#This Row],[2021]]=0,Cuantitativo_Productos[[#This Row],[Acumulado 2021]]="",,SUMPRODUCT(--(Cuantitativo_Productos[[#This Row],[1er Trimestre 2021]:[4o Trimestre 2021]]&lt;&gt;""))=0),"",IF(Info_Productos_Cuantitativo[[#This Row],[Tipo de anualización]]="Creciente",(Cuantitativo_Productos[[#This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2021]])-_xlfn.NUMBERVALUE(Cuantitativo_Productos[[#This Row],[Acumulado 2020]]))/(_xlfn.NUMBERVALUE(Metas_Productos[[#This Row],[Acumulada 2021]])-_xlfn.NUMBERVALUE(Metas_Productos[[#This Row],[Acumulada 2020]])),IF(Info_Productos_Cuantitativo[[#This Row],[Tipo de anualización]]="Decreciente",(Cuantitativo_Productos[[#This Row],[Acumulado 2021]]-Anualiza_LB(Avance_en_Vigencia_Productos[[#Headers],[2021]],Info_Productos_Cuantitativo[[#This Row],[Año del último reporte]],Info_Productos_Cuantitativo[[#This Row],[Valor Linea Base]],Info_Productos_Cuantitativo[[#This Row],[Corte del último reporte]]))/(Metas_Productos[[#This Row],[Acumulada 2021]]-Anualiza_LB(Avance_en_Vigencia_Productos[[#Headers],[2021]],Info_Productos_Cuantitativo[[#This Row],[Año del último reporte]],Info_Productos_Cuantitativo[[#This Row],[Valor Linea Base]],Info_Productos_Cuantitativo[[#This Row],[Corte del último reporte]])),"Seleccionar Anualización")))))</f>
        <v/>
      </c>
      <c r="BW35" s="10" cm="1">
        <f t="array" aca="1" ref="BW35" ca="1">+IF(OR(Metas_Productos[[#This Row],[2022]]=0,Cuantitativo_Productos[[#This Row],[Acumulado 2022]]="",SUMPRODUCT(--(Cuantitativo_Productos[[#This Row],[1er Trimestre 2022]:[4o Trimestre 2022]]&lt;&gt;""))=0),"",IF(Info_Productos_Cuantitativo[[#This Row],[Tipo de anualización]]="Creciente",(Cuantitativo_Productos[[#This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2022]])-_xlfn.NUMBERVALUE(Cuantitativo_Productos[[#This Row],[Acumulado 2021]]))/(_xlfn.NUMBERVALUE(Metas_Productos[[#This Row],[Acumulada 2022]])-_xlfn.NUMBERVALUE(Metas_Productos[[#This Row],[Acumulada 2021]])),IF(Info_Productos_Cuantitativo[[#This Row],[Tipo de anualización]]="Decreciente",(Cuantitativo_Productos[[#This Row],[Acumulado 2022]]-Anualiza_LB(Avance_en_Vigencia_Productos[[#Headers],[2022]],Info_Productos_Cuantitativo[[#This Row],[Año del último reporte]],Info_Productos_Cuantitativo[[#This Row],[Valor Linea Base]],Info_Productos_Cuantitativo[[#This Row],[Corte del último reporte]]))/(Metas_Productos[[#This Row],[Acumulada 2022]]-Anualiza_LB(Avance_en_Vigencia_Productos[[#Headers],[2022]],Info_Productos_Cuantitativo[[#This Row],[Año del último reporte]],Info_Productos_Cuantitativo[[#This Row],[Valor Linea Base]],Info_Productos_Cuantitativo[[#This Row],[Corte del último reporte]])),"Seleccionar Anualización")))))</f>
        <v>0.37892077346004222</v>
      </c>
      <c r="BX35" s="10" cm="1">
        <f t="array" aca="1" ref="BX35" ca="1">+IF(OR(Metas_Productos[[#This Row],[2023]]=0,Cuantitativo_Productos[[#This Row],[Acumulado 2023]]="",SUMPRODUCT(--(Cuantitativo_Productos[[#This Row],[1er Trimestre 2023]:[4o Trimestre 2023]]&lt;&gt;""))=0),"",IF(Info_Productos_Cuantitativo[[#This Row],[Tipo de anualización]]="Creciente",(Cuantitativo_Productos[[#This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2023]])-_xlfn.NUMBERVALUE(Cuantitativo_Productos[[#This Row],[Acumulado 2022]]))/(_xlfn.NUMBERVALUE(Metas_Productos[[#This Row],[Acumulada 2023]])-_xlfn.NUMBERVALUE(Metas_Productos[[#This Row],[Acumulada 2022]])),IF(Info_Productos_Cuantitativo[[#This Row],[Tipo de anualización]]="Decreciente",(Cuantitativo_Productos[[#This Row],[Acumulado 2023]]-Anualiza_LB(Avance_en_Vigencia_Productos[[#Headers],[2023]],Info_Productos_Cuantitativo[[#This Row],[Año del último reporte]],Info_Productos_Cuantitativo[[#This Row],[Valor Linea Base]],Info_Productos_Cuantitativo[[#This Row],[Corte del último reporte]]))/(Metas_Productos[[#This Row],[Acumulada 2023]]-Anualiza_LB(Avance_en_Vigencia_Productos[[#Headers],[2023]],Info_Productos_Cuantitativo[[#This Row],[Año del último reporte]],Info_Productos_Cuantitativo[[#This Row],[Valor Linea Base]],Info_Productos_Cuantitativo[[#This Row],[Corte del último reporte]])),"Seleccionar Anualización")))))</f>
        <v>0.11686596517420077</v>
      </c>
      <c r="BY35" s="10" cm="1">
        <f t="array" aca="1" ref="BY35" ca="1">+IF(OR(Metas_Productos[[#This Row],[2024]]=0,Cuantitativo_Productos[[#This Row],[Acumulado 2024]]="",SUMPRODUCT(--(Cuantitativo_Productos[[#This Row],[1er Trimestre 2024]:[4o Trimestre 2024]]&lt;&gt;""))=0),"",IF(Info_Productos_Cuantitativo[[#This Row],[Tipo de anualización]]="Creciente",(Cuantitativo_Productos[[#This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2024]])-_xlfn.NUMBERVALUE(Cuantitativo_Productos[[#This Row],[Acumulado 2023]]))/(_xlfn.NUMBERVALUE(Metas_Productos[[#This Row],[Acumulada 2024]])-_xlfn.NUMBERVALUE(Metas_Productos[[#This Row],[Acumulada 2023]])),IF(Info_Productos_Cuantitativo[[#This Row],[Tipo de anualización]]="Decreciente",(Cuantitativo_Productos[[#This Row],[Acumulado 2024]]-Anualiza_LB(Avance_en_Vigencia_Productos[[#Headers],[2024]],Info_Productos_Cuantitativo[[#This Row],[Año del último reporte]],Info_Productos_Cuantitativo[[#This Row],[Valor Linea Base]],Info_Productos_Cuantitativo[[#This Row],[Corte del último reporte]]))/(Metas_Productos[[#This Row],[Acumulada 2024]]-Anualiza_LB(Avance_en_Vigencia_Productos[[#Headers],[2024]],Info_Productos_Cuantitativo[[#This Row],[Año del último reporte]],Info_Productos_Cuantitativo[[#This Row],[Valor Linea Base]],Info_Productos_Cuantitativo[[#This Row],[Corte del último reporte]])),"Seleccionar Anualización")))))</f>
        <v>0.35178937999741605</v>
      </c>
      <c r="BZ35" s="10" cm="1">
        <f t="array" aca="1" ref="BZ35" ca="1">+IF(OR(Metas_Productos[[#This Row],[2025]]=0,Cuantitativo_Productos[[#This Row],[Acumulado 2025]]="",SUMPRODUCT(--(Cuantitativo_Productos[[#This Row],[1er Trimestre 2025]:[4o Trimestre 2025]]&lt;&gt;""))=0),"",IF(Info_Productos_Cuantitativo[[#This Row],[Tipo de anualización]]="Creciente",(Cuantitativo_Productos[[#This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2025]])-_xlfn.NUMBERVALUE(Cuantitativo_Productos[[#This Row],[Acumulado 2024]]))/(_xlfn.NUMBERVALUE(Metas_Productos[[#This Row],[Acumulada 2025]])-_xlfn.NUMBERVALUE(Metas_Productos[[#This Row],[Acumulada 2024]])),IF(Info_Productos_Cuantitativo[[#This Row],[Tipo de anualización]]="Decreciente",(Cuantitativo_Productos[[#This Row],[Acumulado 2025]]-Anualiza_LB(Avance_en_Vigencia_Productos[[#Headers],[2025]],Info_Productos_Cuantitativo[[#This Row],[Año del último reporte]],Info_Productos_Cuantitativo[[#This Row],[Valor Linea Base]],Info_Productos_Cuantitativo[[#This Row],[Corte del último reporte]]))/(Metas_Productos[[#This Row],[Acumulada 2025]]-Anualiza_LB(Avance_en_Vigencia_Productos[[#Headers],[2025]],Info_Productos_Cuantitativo[[#This Row],[Año del último reporte]],Info_Productos_Cuantitativo[[#This Row],[Valor Linea Base]],Info_Productos_Cuantitativo[[#This Row],[Corte del último reporte]])),"Seleccionar Anualización")))))</f>
        <v>5.0386873573448558E-2</v>
      </c>
      <c r="CA35" s="106" t="str" cm="1">
        <f t="array" aca="1" ref="CA35" ca="1">IF(OR(Cuantitativo_Productos[[#This Row],[Acumulado 2018]]="",SUMPRODUCT(--(Cuantitativo_Productos[[#This Row],[1er Trimestre 2018]:[4o Trimestre 2018]]&lt;&gt;""))=0),"",IF(Info_Productos_Cuantitativo[[#This Row],[Tipo de anualización]]="Creciente",(Cuantitativo_Productos[[#This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Row],[Acumulada 2018]]),IF(Info_Productos_Cuantitativo[[#This Row],[Tipo de anualización]]="Suma",_xlfn.NUMBERVALUE(Cuantitativo_Productos[[#This Row],[Acumulado 2018]])/_xlfn.NUMBERVALUE(Metas_Productos[[#This Row],[Acumulada 2018]]),IF(Info_Productos_Cuantitativo[[#This Row],[Tipo de anualización]]="Decreciente",(Cuantitativo_Productos[[#This Row],[Acumulado 2018]]-Anualiza_LB(Avance_Hasta_Vigencia_Productos[[#Headers],[2018]],Info_Productos_Cuantitativo[[#This Row],[Año del último reporte]],Info_Productos_Cuantitativo[[#This Row],[Valor Linea Base]],Info_Productos_Cuantitativo[[#This Row],[Corte del último reporte]]))/(Metas_Productos[[#This Row],[Acumulada 2018]]-Anualiza_LB(Avance_Hasta_Vigencia_Productos[[#Headers],[2018]],Info_Productos_Cuantitativo[[#This Row],[Año del último reporte]],Info_Productos_Cuantitativo[[#This Row],[Valor Linea Base]],Info_Productos_Cuantitativo[[#This Row],[Corte del último reporte]])),"Seleccionar Anualización")))))</f>
        <v/>
      </c>
      <c r="CB35" s="107" t="str" cm="1">
        <f t="array" aca="1" ref="CB35" ca="1">IF(OR(Cuantitativo_Productos[[#This Row],[Acumulado 2019]]="",(SUMPRODUCT(--(Cuantitativo_Productos[[#This Row],[1er Trimestre 2019]:[4o Trimestre 2019]]))-SUMPRODUCT(--(Cuantitativo_Productos[[#This Row],[1er Trimestre 2018]:[4o Trimestre 2018]]))&lt;&gt;"")=0),"",IF(Info_Productos_Cuantitativo[[#This Row],[Tipo de anualización]]="Creciente",(Cuantitativo_Productos[[#This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Row],[Acumulada 2019]]),IF(Info_Productos_Cuantitativo[[#This Row],[Tipo de anualización]]="Suma",_xlfn.NUMBERVALUE(Cuantitativo_Productos[[#This Row],[Acumulado 2019]])/(_xlfn.NUMBERVALUE(Metas_Productos[[#This Row],[Acumulada 2019]])),IF(Info_Productos_Cuantitativo[[#This Row],[Tipo de anualización]]="Decreciente",(Cuantitativo_Productos[[#This Row],[Acumulado 2019]]-Anualiza_LB(Avance_Hasta_Vigencia_Productos[[#Headers],[2019]],Info_Productos_Cuantitativo[[#This Row],[Año del último reporte]],Info_Productos_Cuantitativo[[#This Row],[Valor Linea Base]],Info_Productos_Cuantitativo[[#This Row],[Corte del último reporte]]))/(Metas_Productos[[#This Row],[Acumulada 2019]]-Anualiza_LB(Avance_Hasta_Vigencia_Productos[[#Headers],[2019]],Info_Productos_Cuantitativo[[#This Row],[Año del último reporte]],Info_Productos_Cuantitativo[[#This Row],[Valor Linea Base]],Info_Productos_Cuantitativo[[#This Row],[Corte del último reporte]])),"Seleccionar Anualización")))))</f>
        <v/>
      </c>
      <c r="CC35" s="107" t="str" cm="1">
        <f t="array" aca="1" ref="CC35" ca="1">+IF(OR(Cuantitativo_Productos[[#This Row],[Acumulado 2020]]="",(SUMPRODUCT(--(Cuantitativo_Productos[[#This Row],[1er Trimestre 2020]:[4o Trimestre 2020]]))-SUMPRODUCT(--(Cuantitativo_Productos[[#This Row],[1er Trimestre 2019]:[4o Trimestre 2019]]))&lt;&gt;"")=0),"",IF(Info_Productos_Cuantitativo[[#This Row],[Tipo de anualización]]="Creciente",(Cuantitativo_Productos[[#This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Row],[Acumulada 2020]]),IF(Info_Productos_Cuantitativo[[#This Row],[Tipo de anualización]]="Suma",_xlfn.NUMBERVALUE(Cuantitativo_Productos[[#This Row],[Acumulado 2020]])/(_xlfn.NUMBERVALUE(Metas_Productos[[#This Row],[Acumulada 2020]])),IF(Info_Productos_Cuantitativo[[#This Row],[Tipo de anualización]]="Decreciente",(Cuantitativo_Productos[[#This Row],[Acumulado 2020]]-Anualiza_LB(Avance_Hasta_Vigencia_Productos[[#Headers],[2020]],Info_Productos_Cuantitativo[[#This Row],[Año del último reporte]],Info_Productos_Cuantitativo[[#This Row],[Valor Linea Base]],Info_Productos_Cuantitativo[[#This Row],[Corte del último reporte]]))/(Metas_Productos[[#This Row],[Acumulada 2020]]-Anualiza_LB(Avance_Hasta_Vigencia_Productos[[#Headers],[2020]],Info_Productos_Cuantitativo[[#This Row],[Año del último reporte]],Info_Productos_Cuantitativo[[#This Row],[Valor Linea Base]],Info_Productos_Cuantitativo[[#This Row],[Corte del último reporte]])),"Seleccionar Anualización")))))</f>
        <v/>
      </c>
      <c r="CD35" s="107" t="str" cm="1">
        <f t="array" aca="1" ref="CD35" ca="1">+IF(OR(Cuantitativo_Productos[[#This Row],[Acumulado 2021]]="",(SUMPRODUCT(--(Cuantitativo_Productos[[#This Row],[1er Trimestre 2021]:[4o Trimestre 2021]]))-SUMPRODUCT(--(Cuantitativo_Productos[[#This Row],[1er Trimestre 2020]:[4o Trimestre 2020]]))&lt;&gt;"")=0),"",IF(Info_Productos_Cuantitativo[[#This Row],[Tipo de anualización]]="Creciente",(Cuantitativo_Productos[[#This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Row],[Acumulada 2021]]),IF(Info_Productos_Cuantitativo[[#This Row],[Tipo de anualización]]="Suma",_xlfn.NUMBERVALUE(Cuantitativo_Productos[[#This Row],[Acumulado 2021]])/(_xlfn.NUMBERVALUE(Metas_Productos[[#This Row],[Acumulada 2021]])),IF(Info_Productos_Cuantitativo[[#This Row],[Tipo de anualización]]="Decreciente",(Cuantitativo_Productos[[#This Row],[Acumulado 2021]]-Anualiza_LB(Avance_Hasta_Vigencia_Productos[[#Headers],[2021]],Info_Productos_Cuantitativo[[#This Row],[Año del último reporte]],Info_Productos_Cuantitativo[[#This Row],[Valor Linea Base]],Info_Productos_Cuantitativo[[#This Row],[Corte del último reporte]]))/(Metas_Productos[[#This Row],[Acumulada 2021]]-Anualiza_LB(Avance_Hasta_Vigencia_Productos[[#Headers],[2021]],Info_Productos_Cuantitativo[[#This Row],[Año del último reporte]],Info_Productos_Cuantitativo[[#This Row],[Valor Linea Base]],Info_Productos_Cuantitativo[[#This Row],[Corte del último reporte]])),"Seleccionar Anualización")))))</f>
        <v/>
      </c>
      <c r="CE35" s="107" cm="1">
        <f t="array" aca="1" ref="CE35" ca="1">+IF(OR(Cuantitativo_Productos[[#This Row],[Acumulado 2022]]="",(SUMPRODUCT(--(Cuantitativo_Productos[[#This Row],[1er Trimestre 2022]:[4o Trimestre 2022]]))-SUMPRODUCT(--(Cuantitativo_Productos[[#This Row],[1er Trimestre 2021]:[4o Trimestre 2021]]))&lt;&gt;"")=0),"",IF(Info_Productos_Cuantitativo[[#This Row],[Tipo de anualización]]="Creciente",(Cuantitativo_Productos[[#This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Row],[Acumulada 2022]]),IF(Info_Productos_Cuantitativo[[#This Row],[Tipo de anualización]]="Suma",_xlfn.NUMBERVALUE(Cuantitativo_Productos[[#This Row],[Acumulado 2022]])/(_xlfn.NUMBERVALUE(Metas_Productos[[#This Row],[Acumulada 2022]])),IF(Info_Productos_Cuantitativo[[#This Row],[Tipo de anualización]]="Decreciente",(Cuantitativo_Productos[[#This Row],[Acumulado 2022]]-Anualiza_LB(Avance_Hasta_Vigencia_Productos[[#Headers],[2022]],Info_Productos_Cuantitativo[[#This Row],[Año del último reporte]],Info_Productos_Cuantitativo[[#This Row],[Valor Linea Base]],Info_Productos_Cuantitativo[[#This Row],[Corte del último reporte]]))/(Metas_Productos[[#This Row],[Acumulada 2022]]-Anualiza_LB(Avance_Hasta_Vigencia_Productos[[#Headers],[2022]],Info_Productos_Cuantitativo[[#This Row],[Año del último reporte]],Info_Productos_Cuantitativo[[#This Row],[Valor Linea Base]],Info_Productos_Cuantitativo[[#This Row],[Corte del último reporte]])),"Seleccionar Anualización")))))</f>
        <v>0.37892077346004222</v>
      </c>
      <c r="CF35" s="107" cm="1">
        <f t="array" aca="1" ref="CF35" ca="1">+IF(OR(Cuantitativo_Productos[[#This Row],[Acumulado 2023]]="",(SUMPRODUCT(--(Cuantitativo_Productos[[#This Row],[1er Trimestre 2023]:[4o Trimestre 2023]]))-SUMPRODUCT(--(Cuantitativo_Productos[[#This Row],[1er Trimestre 2022]:[4o Trimestre 2022]]))&lt;&gt;"")=0),"",IF(Info_Productos_Cuantitativo[[#This Row],[Tipo de anualización]]="Creciente",(Cuantitativo_Productos[[#This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Row],[Acumulada 2023]]),IF(Info_Productos_Cuantitativo[[#This Row],[Tipo de anualización]]="Suma",_xlfn.NUMBERVALUE(Cuantitativo_Productos[[#This Row],[Acumulado 2023]])/(_xlfn.NUMBERVALUE(Metas_Productos[[#This Row],[Acumulada 2023]])),IF(Info_Productos_Cuantitativo[[#This Row],[Tipo de anualización]]="Decreciente",(Cuantitativo_Productos[[#This Row],[Acumulado 2023]]-Anualiza_LB(Avance_Hasta_Vigencia_Productos[[#Headers],[2023]],Info_Productos_Cuantitativo[[#This Row],[Año del último reporte]],Info_Productos_Cuantitativo[[#This Row],[Valor Linea Base]],Info_Productos_Cuantitativo[[#This Row],[Corte del último reporte]]))/(Metas_Productos[[#This Row],[Acumulada 2023]]-Anualiza_LB(Avance_Hasta_Vigencia_Productos[[#Headers],[2023]],Info_Productos_Cuantitativo[[#This Row],[Año del último reporte]],Info_Productos_Cuantitativo[[#This Row],[Valor Linea Base]],Info_Productos_Cuantitativo[[#This Row],[Corte del último reporte]])),"Seleccionar Anualización")))))</f>
        <v>0.11686596517420077</v>
      </c>
      <c r="CG35" s="123" cm="1">
        <f t="array" aca="1" ref="CG35" ca="1">+IF(OR(Cuantitativo_Productos[[#This Row],[Acumulado 2024]]="",(SUMPRODUCT(--(Cuantitativo_Productos[[#This Row],[1er Trimestre 2024]:[4o Trimestre 2024]]))-SUMPRODUCT(--(Cuantitativo_Productos[[#This Row],[1er Trimestre 2023]:[4o Trimestre 2023]]))&lt;&gt;"")=0),"",IF(Info_Productos_Cuantitativo[[#This Row],[Tipo de anualización]]="Creciente",(Cuantitativo_Productos[[#This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Row],[Acumulada 2024]]),IF(Info_Productos_Cuantitativo[[#This Row],[Tipo de anualización]]="Suma",_xlfn.NUMBERVALUE(Cuantitativo_Productos[[#This Row],[Acumulado 2024]])/(_xlfn.NUMBERVALUE(Metas_Productos[[#This Row],[Acumulada 2024]])),IF(Info_Productos_Cuantitativo[[#This Row],[Tipo de anualización]]="Decreciente",(Cuantitativo_Productos[[#This Row],[Acumulado 2024]]-Anualiza_LB(Avance_Hasta_Vigencia_Productos[[#Headers],[2024]],Info_Productos_Cuantitativo[[#This Row],[Año del último reporte]],Info_Productos_Cuantitativo[[#This Row],[Valor Linea Base]],Info_Productos_Cuantitativo[[#This Row],[Corte del último reporte]]))/(Metas_Productos[[#This Row],[Acumulada 2024]]-Anualiza_LB(Avance_Hasta_Vigencia_Productos[[#Headers],[2024]],Info_Productos_Cuantitativo[[#This Row],[Año del último reporte]],Info_Productos_Cuantitativo[[#This Row],[Valor Linea Base]],Info_Productos_Cuantitativo[[#This Row],[Corte del último reporte]])),"Seleccionar Anualización")))))</f>
        <v>0.35178937999741605</v>
      </c>
      <c r="CH35" s="123" cm="1">
        <f t="array" aca="1" ref="CH35" ca="1">+IF(OR(Cuantitativo_Productos[[#This Row],[Acumulado 2025]]="",(SUMPRODUCT(--(Cuantitativo_Productos[[#This Row],[1er Trimestre 2025]:[4o Trimestre 2025]]))-SUMPRODUCT(--(Cuantitativo_Productos[[#This Row],[1er Trimestre 2024]:[4o Trimestre 2024]]))&lt;&gt;"")=0),"",IF(Info_Productos_Cuantitativo[[#This Row],[Tipo de anualización]]="Creciente",(Cuantitativo_Productos[[#This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Row],[Acumulada 2025]]),IF(Info_Productos_Cuantitativo[[#This Row],[Tipo de anualización]]="Suma",_xlfn.NUMBERVALUE(Cuantitativo_Productos[[#This Row],[Acumulado 2025]])/(_xlfn.NUMBERVALUE(Metas_Productos[[#This Row],[Acumulada 2025]])),IF(Info_Productos_Cuantitativo[[#This Row],[Tipo de anualización]]="Decreciente",(Cuantitativo_Productos[[#This Row],[Acumulado 2025]]-Anualiza_LB(Avance_Hasta_Vigencia_Productos[[#Headers],[2025]],Info_Productos_Cuantitativo[[#This Row],[Año del último reporte]],Info_Productos_Cuantitativo[[#This Row],[Valor Linea Base]],Info_Productos_Cuantitativo[[#This Row],[Corte del último reporte]]))/(Metas_Productos[[#This Row],[Acumulada 2025]]-Anualiza_LB(Avance_Hasta_Vigencia_Productos[[#Headers],[2025]],Info_Productos_Cuantitativo[[#This Row],[Año del último reporte]],Info_Productos_Cuantitativo[[#This Row],[Valor Linea Base]],Info_Productos_Cuantitativo[[#This Row],[Corte del último reporte]])),"Seleccionar Anualización")))))</f>
        <v>5.0386873573448558E-2</v>
      </c>
      <c r="CI35" s="21" t="str" cm="1">
        <f t="array" aca="1" ref="CI35" ca="1">++IF(OR(Metas_Productos[[#This Row],[Meta Final]]="",Cuantitativo_Productos[[#This Row],[Acumulado 2018]]=""),"",IF(Info_Productos_Cuantitativo[[#This Row],[Tipo de anualización]]="Creciente",(Cuantitativo_Productos[[#This Row],[Acumulado 2018]]-Anualiza_LB(Avance_Acumulado_Productos[[#Headers],[2018]],Info_Productos_Cuantitativo[[#This Row],[Año del último reporte]],Info_Productos_Cuantitativo[[#This Row],[Valor Linea Base]],Info_Productos_Cuantitativo[[#This Row],[Corte del último reporte]]))/(Metas_Productos[[#This Row],[Meta Final]]-Anualiza_LB(Avance_Acumulado_Productos[[#Headers],[2018]],Info_Productos_Cuantitativo[[#This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2018]]/Metas_Productos[[#This Row],[Meta Final]],IF(Info_Productos_Cuantitativo[[#This Row],[Tipo de anualización]]="Suma",(Cuantitativo_Productos[[#This Row],[Acumulado 2018]])/(Metas_Productos[[#This Row],[Meta Final]]),IF(Info_Productos_Cuantitativo[[#This Row],[Tipo de anualización]]="Decreciente",(Info_Productos_Cuantitativo[[#This Row],[Valor Linea Base]]-Anualiza_LB(Avance_Acumulado_Productos[[#Headers],[2018]],Info_Productos_Cuantitativo[[#This Row],[Año del último reporte]],Info_Productos_Cuantitativo[[#This Row],[Valor Linea Base]],Info_Productos_Cuantitativo[[#This Row],[Corte del último reporte]]))/(Anualiza_LB(Avance_Acumulado_Productos[[#Headers],[2018]],Info_Productos_Cuantitativo[[#This Row],[Año del último reporte]],Info_Productos_Cuantitativo[[#This Row],[Valor Linea Base]],Info_Productos_Cuantitativo[[#This Row],[Corte del último reporte]])-Metas_Productos[[#This Row],[Meta Final]]),"Seleccionar Anualización")))))</f>
        <v/>
      </c>
      <c r="CJ35" s="54" t="str" cm="1">
        <f t="array" aca="1" ref="CJ35" ca="1">++IF(OR(Metas_Productos[[#This Row],[Meta Final]]="",Cuantitativo_Productos[[#This Row],[Acumulado 2019]]=""),"",IF(Info_Productos_Cuantitativo[[#This Row],[Tipo de anualización]]="Creciente",(Cuantitativo_Productos[[#This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Final]]-Anualiza_LB(Avance_Acumulado_Productos[[#Headers],[2019]],Info_Productos_Cuantitativo[[#This Row],[Año del último reporte]],Info_Productos_Cuantitativo[[#This Row],[Valor Linea Base]],Info_Productos_Cuantitativo[[#This Row],[Corte del último reporte]])),IF(Info_Productos_Cuantitativo[[#This Row],[Tipo de anualización]]="Constante",Cuantitativo_Productos[[#This Row],[Acumulado 2019]]/Metas_Productos[[#This Row],[Meta Final]],IF(Info_Productos_Cuantitativo[[#This Row],[Tipo de anualización]]="Suma",(Cuantitativo_Productos[[#This Row],[Acumulado 2019]])/(Metas_Productos[[#This Row],[Meta Final]]),IF(Info_Productos_Cuantitativo[[#This Row],[Tipo de anualización]]="Decreciente",(Anualiza_LB(Avance_Acumulado_Productos[[#Headers],[2019]],Info_Productos_Cuantitativo[[#This Row],[Año del último reporte]],Info_Productos_Cuantitativo[[#This Row],[Valor Linea Base]],Info_Productos_Cuantitativo[[#This Row],[Corte del último reporte]])-Cuantitativo_Productos[[#This Row],[Acumulado 2019]])/(Anualiza_LB(Avance_Acumulado_Productos[[#Headers],[2019]],Info_Productos_Cuantitativo[[#This Row],[Año del último reporte]],Info_Productos_Cuantitativo[[#This Row],[Valor Linea Base]],Info_Productos_Cuantitativo[[#This Row],[Corte del último reporte]])-Metas_Productos[[#This Row],[Meta Final]]),"Seleccionar Anualización")))))</f>
        <v/>
      </c>
      <c r="CK35" s="54" t="str" cm="1">
        <f t="array" aca="1" ref="CK35" ca="1">+IF(OR(Metas_Productos[[#This Row],[Meta Final]]="",Cuantitativo_Productos[[#This Row],[Acumulado 2020]]=""),"",IF(Info_Productos_Cuantitativo[[#This Row],[Tipo de anualización]]="Creciente",(Cuantitativo_Productos[[#This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Final]]-Anualiza_LB(Avance_Acumulado_Productos[[#Headers],[2020]],Info_Productos_Cuantitativo[[#This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2020]]/Metas_Productos[[#This Row],[Meta Final]],IF(Info_Productos_Cuantitativo[[#This Row],[Tipo de anualización]]="Suma",(Cuantitativo_Productos[[#This Row],[Acumulado 2020]])/(Metas_Productos[[#This Row],[Meta Final]]),IF(Info_Productos_Cuantitativo[[#This Row],[Tipo de anualización]]="Decreciente",(Anualiza_LB(Avance_Acumulado_Productos[[#Headers],[2020]],Info_Productos_Cuantitativo[[#This Row],[Año del último reporte]],Info_Productos_Cuantitativo[[#This Row],[Valor Linea Base]],Info_Productos_Cuantitativo[[#This Row],[Corte del último reporte]])-Cuantitativo_Productos[[#This Row],[Acumulado 2020]])/(Anualiza_LB(Avance_Acumulado_Productos[[#Headers],[2020]],Info_Productos_Cuantitativo[[#This Row],[Año del último reporte]],Info_Productos_Cuantitativo[[#This Row],[Valor Linea Base]],Info_Productos_Cuantitativo[[#This Row],[Corte del último reporte]])-Metas_Productos[[#This Row],[Meta Final]]),"Seleccionar Anualización")))))</f>
        <v/>
      </c>
      <c r="CL35" s="54" t="str" cm="1">
        <f t="array" aca="1" ref="CL35" ca="1">+IF(OR(Metas_Productos[[#This Row],[Meta Final]]="",Cuantitativo_Productos[[#This Row],[Acumulado 2021]]=""),"",IF(Info_Productos_Cuantitativo[[#This Row],[Tipo de anualización]]="Creciente",(Cuantitativo_Productos[[#This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Final]]-Anualiza_LB(Avance_Acumulado_Productos[[#Headers],[2021]],Info_Productos_Cuantitativo[[#This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2021]]/Metas_Productos[[#This Row],[Meta Final]],IF(Info_Productos_Cuantitativo[[#This Row],[Tipo de anualización]]="Suma",(Cuantitativo_Productos[[#This Row],[Acumulado 2021]])/(Metas_Productos[[#This Row],[Meta Final]]),IF(Info_Productos_Cuantitativo[[#This Row],[Tipo de anualización]]="Decreciente",(Anualiza_LB(Avance_Acumulado_Productos[[#Headers],[2021]],Info_Productos_Cuantitativo[[#This Row],[Año del último reporte]],Info_Productos_Cuantitativo[[#This Row],[Valor Linea Base]],Info_Productos_Cuantitativo[[#This Row],[Corte del último reporte]])-Cuantitativo_Productos[[#This Row],[Acumulado 2021]])/(Anualiza_LB(Avance_Acumulado_Productos[[#Headers],[2021]],Info_Productos_Cuantitativo[[#This Row],[Año del último reporte]],Info_Productos_Cuantitativo[[#This Row],[Valor Linea Base]],Info_Productos_Cuantitativo[[#This Row],[Corte del último reporte]])-Metas_Productos[[#This Row],[Meta Final]]),"Seleccionar Anualización")))))</f>
        <v/>
      </c>
      <c r="CM35" s="54" cm="1">
        <f t="array" aca="1" ref="CM35" ca="1">+IF(OR(Metas_Productos[[#This Row],[Meta Final]]="",Cuantitativo_Productos[[#This Row],[Acumulado 2022]]=""),"",IF(Info_Productos_Cuantitativo[[#This Row],[Tipo de anualización]]="Creciente",(Cuantitativo_Productos[[#This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Final]]-Anualiza_LB(Avance_Acumulado_Productos[[#Headers],[2022]],Info_Productos_Cuantitativo[[#This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2022]]/Metas_Productos[[#This Row],[Meta Final]],IF(Info_Productos_Cuantitativo[[#This Row],[Tipo de anualización]]="Suma",(Cuantitativo_Productos[[#This Row],[Acumulado 2022]])/(Metas_Productos[[#This Row],[Meta Final]]),IF(Info_Productos_Cuantitativo[[#This Row],[Tipo de anualización]]="Decreciente",(Anualiza_LB(Avance_Acumulado_Productos[[#Headers],[2022]],Info_Productos_Cuantitativo[[#This Row],[Año del último reporte]],Info_Productos_Cuantitativo[[#This Row],[Valor Linea Base]],Info_Productos_Cuantitativo[[#This Row],[Corte del último reporte]])-Cuantitativo_Productos[[#This Row],[Acumulado 2022]])/(Anualiza_LB(Avance_Acumulado_Productos[[#Headers],[2022]],Info_Productos_Cuantitativo[[#This Row],[Año del último reporte]],Info_Productos_Cuantitativo[[#This Row],[Valor Linea Base]],Info_Productos_Cuantitativo[[#This Row],[Corte del último reporte]])-Metas_Productos[[#This Row],[Meta Final]]),"Seleccionar Anualización")))))</f>
        <v>0.37892077346004222</v>
      </c>
      <c r="CN35" s="54" cm="1">
        <f t="array" aca="1" ref="CN35" ca="1">+IF(OR(Metas_Productos[[#This Row],[Meta Final]]="",Cuantitativo_Productos[[#This Row],[Acumulado 2023]]=""),"",IF(Info_Productos_Cuantitativo[[#This Row],[Tipo de anualización]]="Creciente",(Cuantitativo_Productos[[#This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Final]]-Anualiza_LB(Avance_Acumulado_Productos[[#Headers],[2023]],Info_Productos_Cuantitativo[[#This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2023]]/Metas_Productos[[#This Row],[Meta Final]],IF(Info_Productos_Cuantitativo[[#This Row],[Tipo de anualización]]="Suma",(Cuantitativo_Productos[[#This Row],[Acumulado 2023]])/(Metas_Productos[[#This Row],[Meta Final]]),IF(Info_Productos_Cuantitativo[[#This Row],[Tipo de anualización]]="Decreciente",(Anualiza_LB(Avance_Acumulado_Productos[[#Headers],[2023]],Info_Productos_Cuantitativo[[#This Row],[Año del último reporte]],Info_Productos_Cuantitativo[[#This Row],[Valor Linea Base]],Info_Productos_Cuantitativo[[#This Row],[Corte del último reporte]])-Cuantitativo_Productos[[#This Row],[Acumulado 2023]])/(Anualiza_LB(Avance_Acumulado_Productos[[#Headers],[2023]],Info_Productos_Cuantitativo[[#This Row],[Año del último reporte]],Info_Productos_Cuantitativo[[#This Row],[Valor Linea Base]],Info_Productos_Cuantitativo[[#This Row],[Corte del último reporte]])-Metas_Productos[[#This Row],[Meta Final]]),"Seleccionar Anualización")))))</f>
        <v>0.11686596517420077</v>
      </c>
      <c r="CO35" s="115" cm="1">
        <f t="array" aca="1" ref="CO35" ca="1">+IF(OR(Metas_Productos[[#This Row],[Meta Final]]="",Cuantitativo_Productos[[#This Row],[Acumulado 2024]]=""),"",IF(Info_Productos_Cuantitativo[[#This Row],[Tipo de anualización]]="Creciente",(Cuantitativo_Productos[[#This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Final]]-Anualiza_LB(Avance_Acumulado_Productos[[#Headers],[2024]],Info_Productos_Cuantitativo[[#This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2024]]/Metas_Productos[[#This Row],[Meta Final]],IF(Info_Productos_Cuantitativo[[#This Row],[Tipo de anualización]]="Suma",(Cuantitativo_Productos[[#This Row],[Acumulado 2024]])/(Metas_Productos[[#This Row],[Meta Final]]),IF(Info_Productos_Cuantitativo[[#This Row],[Tipo de anualización]]="Decreciente",(Anualiza_LB(Avance_Acumulado_Productos[[#Headers],[2024]],Info_Productos_Cuantitativo[[#This Row],[Año del último reporte]],Info_Productos_Cuantitativo[[#This Row],[Valor Linea Base]],Info_Productos_Cuantitativo[[#This Row],[Corte del último reporte]])-Cuantitativo_Productos[[#This Row],[Acumulado 2024]])/(Anualiza_LB(Avance_Acumulado_Productos[[#Headers],[2024]],Info_Productos_Cuantitativo[[#This Row],[Año del último reporte]],Info_Productos_Cuantitativo[[#This Row],[Valor Linea Base]],Info_Productos_Cuantitativo[[#This Row],[Corte del último reporte]])-Metas_Productos[[#This Row],[Meta Final]]),"Seleccionar Anualización")))))</f>
        <v>0.35178937999741605</v>
      </c>
      <c r="CP35" s="55" cm="1">
        <f t="array" aca="1" ref="CP35" ca="1">+IF(OR(Metas_Productos[[#This Row],[Meta Final]]="",Cuantitativo_Productos[[#This Row],[Acumulado 2025]]=""),"",IF(Info_Productos_Cuantitativo[[#This Row],[Tipo de anualización]]="Creciente",(Cuantitativo_Productos[[#This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Final]]-Anualiza_LB(Avance_Acumulado_Productos[[#Headers],[2025]],Info_Productos_Cuantitativo[[#This Row],[Año del último reporte]],Info_Productos_Cuantitativo[[#This Row],[Valor Linea Base]],Info_Productos_Cuantitativo[[#This Row],[Corte del último reporte]])),IF(Info_Productos_Cuantitativo[[#This Row],[Tipo de anualización]]="Constante",Cuantitativo_Productos[[#This Row],[Acumulado 2025]]/Metas_Productos[[#This Row],[Meta Final]],IF(Info_Productos_Cuantitativo[[#This Row],[Tipo de anualización]]="Suma",(Cuantitativo_Productos[[#This Row],[Acumulado 2025]])/(Metas_Productos[[#This Row],[Meta Final]]),IF(Info_Productos_Cuantitativo[[#This Row],[Tipo de anualización]]="Decreciente",(Anualiza_LB(Avance_Acumulado_Productos[[#Headers],[2025]],Info_Productos_Cuantitativo[[#This Row],[Año del último reporte]],Info_Productos_Cuantitativo[[#This Row],[Valor Linea Base]],Info_Productos_Cuantitativo[[#This Row],[Corte del último reporte]])-Cuantitativo_Productos[[#This Row],[Acumulado 2025]])/(Anualiza_LB(Avance_Acumulado_Productos[[#Headers],[2025]],Info_Productos_Cuantitativo[[#This Row],[Año del último reporte]],Info_Productos_Cuantitativo[[#This Row],[Valor Linea Base]],Info_Productos_Cuantitativo[[#This Row],[Corte del último reporte]])-Metas_Productos[[#This Row],[Meta Final]]),"Seleccionar Anualización")))))</f>
        <v>5.0386873573448558E-2</v>
      </c>
    </row>
  </sheetData>
  <sheetProtection formatCells="0" formatColumns="0" formatRows="0" sort="0" autoFilter="0"/>
  <mergeCells count="18">
    <mergeCell ref="BB3:BR4"/>
    <mergeCell ref="N4:Q4"/>
    <mergeCell ref="CA4:CH4"/>
    <mergeCell ref="CI3:CP3"/>
    <mergeCell ref="CI4:CP4"/>
    <mergeCell ref="BS3:BZ3"/>
    <mergeCell ref="BS4:BZ4"/>
    <mergeCell ref="CA3:CH3"/>
    <mergeCell ref="AL4:AO4"/>
    <mergeCell ref="AP4:AS4"/>
    <mergeCell ref="A1:L2"/>
    <mergeCell ref="A3:M4"/>
    <mergeCell ref="AH4:AK4"/>
    <mergeCell ref="R4:U4"/>
    <mergeCell ref="V4:Y4"/>
    <mergeCell ref="Z4:AC4"/>
    <mergeCell ref="AD4:AG4"/>
    <mergeCell ref="N3:BA3"/>
  </mergeCells>
  <dataValidations count="2">
    <dataValidation allowBlank="1" sqref="C5:G5 I5:M5 BB5:BR5" xr:uid="{00000000-0002-0000-0100-000000000000}"/>
    <dataValidation type="date" operator="greaterThan" allowBlank="1" showInputMessage="1" showErrorMessage="1" error="Ingrese únicamente la fecha en formato:_x000a__x000a_DD/MM/AAAA" sqref="J6:K35" xr:uid="{00000000-0002-0000-0100-000001000000}">
      <formula1>42736</formula1>
    </dataValidation>
  </dataValidations>
  <pageMargins left="0.7" right="0.7" top="0.75" bottom="0.75" header="0.3" footer="0.3"/>
  <pageSetup orientation="portrait" r:id="rId1"/>
  <drawing r:id="rId2"/>
  <legacyDrawing r:id="rId3"/>
  <tableParts count="6">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BZ37"/>
  <sheetViews>
    <sheetView tabSelected="1" zoomScale="60" zoomScaleNormal="60" workbookViewId="0">
      <pane xSplit="3" ySplit="5" topLeftCell="D6" activePane="bottomRight" state="frozen"/>
      <selection pane="topRight" activeCell="D1" sqref="D1"/>
      <selection pane="bottomLeft" activeCell="A6" sqref="A6"/>
      <selection pane="bottomRight" activeCell="E37" sqref="E37"/>
    </sheetView>
  </sheetViews>
  <sheetFormatPr baseColWidth="10" defaultColWidth="8.88671875" defaultRowHeight="18" outlineLevelCol="1" x14ac:dyDescent="0.35"/>
  <cols>
    <col min="1" max="1" width="8.88671875" style="192" customWidth="1"/>
    <col min="2" max="2" width="8.44140625" style="192" hidden="1" customWidth="1"/>
    <col min="3" max="3" width="55.88671875" style="192" customWidth="1"/>
    <col min="4" max="4" width="19.44140625" style="192" customWidth="1"/>
    <col min="5" max="5" width="12" style="192" customWidth="1"/>
    <col min="6" max="6" width="15.44140625" style="192" customWidth="1"/>
    <col min="7" max="7" width="14.109375" style="192" customWidth="1"/>
    <col min="8" max="8" width="15.88671875" style="192" customWidth="1"/>
    <col min="9" max="9" width="16.44140625" style="192" customWidth="1"/>
    <col min="10" max="10" width="15.44140625" style="192" customWidth="1"/>
    <col min="11" max="11" width="15.109375" style="192" customWidth="1"/>
    <col min="12" max="13" width="20.44140625" style="192" customWidth="1"/>
    <col min="14" max="14" width="9.44140625" style="192" hidden="1" customWidth="1" outlineLevel="1"/>
    <col min="15" max="15" width="8.88671875" style="192" hidden="1" customWidth="1" outlineLevel="1"/>
    <col min="16" max="16" width="9.88671875" style="192" hidden="1" customWidth="1" outlineLevel="1"/>
    <col min="17" max="17" width="8.88671875" style="192" hidden="1" customWidth="1" outlineLevel="1"/>
    <col min="18" max="18" width="10.109375" style="192" hidden="1" customWidth="1" outlineLevel="1"/>
    <col min="19" max="19" width="8.88671875" style="192" hidden="1" customWidth="1" outlineLevel="1"/>
    <col min="20" max="20" width="10.44140625" style="192" customWidth="1" collapsed="1"/>
    <col min="21" max="21" width="10.44140625" style="192" customWidth="1"/>
    <col min="22" max="27" width="8.88671875" style="192" hidden="1" customWidth="1" outlineLevel="1"/>
    <col min="28" max="28" width="10.44140625" style="192" customWidth="1" collapsed="1"/>
    <col min="29" max="29" width="11.44140625" style="192" customWidth="1"/>
    <col min="30" max="35" width="8.88671875" style="192" hidden="1" customWidth="1" outlineLevel="1"/>
    <col min="36" max="36" width="11.44140625" style="192" customWidth="1" collapsed="1"/>
    <col min="37" max="37" width="11.44140625" style="192" customWidth="1"/>
    <col min="38" max="43" width="8.88671875" style="192" hidden="1" customWidth="1" outlineLevel="1"/>
    <col min="44" max="44" width="11.44140625" style="192" customWidth="1" collapsed="1"/>
    <col min="45" max="45" width="11.44140625" style="192" customWidth="1"/>
    <col min="46" max="51" width="15.44140625" style="192" hidden="1" customWidth="1" outlineLevel="1"/>
    <col min="52" max="52" width="22.88671875" style="192" customWidth="1" collapsed="1"/>
    <col min="53" max="53" width="20.109375" style="192" customWidth="1"/>
    <col min="54" max="59" width="11.44140625" style="192" hidden="1" customWidth="1" outlineLevel="1"/>
    <col min="60" max="60" width="19.6640625" style="192" customWidth="1" collapsed="1"/>
    <col min="61" max="61" width="19.33203125" style="192" customWidth="1"/>
    <col min="62" max="63" width="11.44140625" style="192" customWidth="1" outlineLevel="1"/>
    <col min="64" max="64" width="26.33203125" style="192" customWidth="1" outlineLevel="1"/>
    <col min="65" max="65" width="25" style="192" customWidth="1" outlineLevel="1"/>
    <col min="66" max="67" width="11.44140625" style="192" customWidth="1" outlineLevel="1"/>
    <col min="68" max="69" width="11.44140625" style="192" customWidth="1"/>
    <col min="70" max="71" width="11.44140625" style="192" customWidth="1" outlineLevel="1"/>
    <col min="72" max="72" width="86.33203125" style="192" customWidth="1" outlineLevel="1"/>
    <col min="73" max="73" width="96.6640625" style="192" customWidth="1" outlineLevel="1"/>
    <col min="74" max="74" width="107.109375" style="192" customWidth="1" outlineLevel="1"/>
    <col min="75" max="75" width="84.33203125" style="192" customWidth="1" outlineLevel="1"/>
    <col min="76" max="77" width="11.44140625" style="192" customWidth="1"/>
    <col min="78" max="78" width="19.33203125" style="192" customWidth="1"/>
    <col min="79" max="16384" width="8.88671875" style="192"/>
  </cols>
  <sheetData>
    <row r="1" spans="1:78" ht="28.5" customHeight="1" thickBot="1" x14ac:dyDescent="0.4">
      <c r="A1" s="300" t="s">
        <v>254</v>
      </c>
      <c r="B1" s="300"/>
      <c r="C1" s="300"/>
      <c r="D1" s="300"/>
      <c r="E1" s="300"/>
      <c r="F1" s="300"/>
      <c r="G1" s="300"/>
      <c r="H1" s="300"/>
      <c r="I1" s="300"/>
      <c r="J1" s="300"/>
      <c r="K1" s="300"/>
      <c r="L1" s="300"/>
      <c r="M1" s="191"/>
    </row>
    <row r="2" spans="1:78" ht="20.25" customHeight="1" thickBot="1" x14ac:dyDescent="0.4">
      <c r="A2" s="304" t="s">
        <v>117</v>
      </c>
      <c r="B2" s="305"/>
      <c r="C2" s="305"/>
      <c r="D2" s="305"/>
      <c r="E2" s="305"/>
      <c r="F2" s="305"/>
      <c r="G2" s="305"/>
      <c r="H2" s="305"/>
      <c r="I2" s="305"/>
      <c r="J2" s="305"/>
      <c r="K2" s="305"/>
      <c r="L2" s="305"/>
      <c r="M2" s="306"/>
      <c r="N2" s="313" t="s">
        <v>255</v>
      </c>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314"/>
      <c r="BH2" s="314"/>
      <c r="BI2" s="314"/>
      <c r="BJ2" s="314"/>
      <c r="BK2" s="314"/>
      <c r="BL2" s="314"/>
      <c r="BM2" s="314"/>
      <c r="BN2" s="314"/>
      <c r="BO2" s="314"/>
      <c r="BP2" s="314"/>
      <c r="BQ2" s="314"/>
      <c r="BR2" s="314"/>
      <c r="BS2" s="314"/>
      <c r="BT2" s="314"/>
      <c r="BU2" s="314"/>
      <c r="BV2" s="314"/>
      <c r="BW2" s="314"/>
      <c r="BX2" s="314"/>
      <c r="BY2" s="314"/>
    </row>
    <row r="3" spans="1:78" ht="24.75" customHeight="1" thickBot="1" x14ac:dyDescent="0.4">
      <c r="A3" s="307"/>
      <c r="B3" s="308"/>
      <c r="C3" s="308"/>
      <c r="D3" s="308"/>
      <c r="E3" s="308"/>
      <c r="F3" s="308"/>
      <c r="G3" s="308"/>
      <c r="H3" s="308"/>
      <c r="I3" s="308"/>
      <c r="J3" s="308"/>
      <c r="K3" s="308"/>
      <c r="L3" s="308"/>
      <c r="M3" s="309"/>
      <c r="N3" s="292">
        <v>2018</v>
      </c>
      <c r="O3" s="293"/>
      <c r="P3" s="293"/>
      <c r="Q3" s="293"/>
      <c r="R3" s="293"/>
      <c r="S3" s="293"/>
      <c r="T3" s="293"/>
      <c r="U3" s="294"/>
      <c r="V3" s="301">
        <v>2019</v>
      </c>
      <c r="W3" s="302"/>
      <c r="X3" s="302"/>
      <c r="Y3" s="302"/>
      <c r="Z3" s="302"/>
      <c r="AA3" s="302"/>
      <c r="AB3" s="302"/>
      <c r="AC3" s="303"/>
      <c r="AD3" s="292">
        <v>2020</v>
      </c>
      <c r="AE3" s="293"/>
      <c r="AF3" s="293"/>
      <c r="AG3" s="293"/>
      <c r="AH3" s="293"/>
      <c r="AI3" s="293"/>
      <c r="AJ3" s="293"/>
      <c r="AK3" s="294"/>
      <c r="AL3" s="301">
        <v>2021</v>
      </c>
      <c r="AM3" s="302"/>
      <c r="AN3" s="302"/>
      <c r="AO3" s="302"/>
      <c r="AP3" s="302"/>
      <c r="AQ3" s="302"/>
      <c r="AR3" s="302"/>
      <c r="AS3" s="303"/>
      <c r="AT3" s="292">
        <v>2022</v>
      </c>
      <c r="AU3" s="293"/>
      <c r="AV3" s="293"/>
      <c r="AW3" s="293"/>
      <c r="AX3" s="293"/>
      <c r="AY3" s="293"/>
      <c r="AZ3" s="293"/>
      <c r="BA3" s="294"/>
      <c r="BB3" s="292">
        <v>2023</v>
      </c>
      <c r="BC3" s="293"/>
      <c r="BD3" s="293"/>
      <c r="BE3" s="293"/>
      <c r="BF3" s="293"/>
      <c r="BG3" s="293"/>
      <c r="BH3" s="293"/>
      <c r="BI3" s="294"/>
      <c r="BJ3" s="292">
        <v>2024</v>
      </c>
      <c r="BK3" s="293"/>
      <c r="BL3" s="293"/>
      <c r="BM3" s="293"/>
      <c r="BN3" s="293"/>
      <c r="BO3" s="293"/>
      <c r="BP3" s="293"/>
      <c r="BQ3" s="294"/>
      <c r="BR3" s="292">
        <v>2025</v>
      </c>
      <c r="BS3" s="293"/>
      <c r="BT3" s="293"/>
      <c r="BU3" s="293"/>
      <c r="BV3" s="293"/>
      <c r="BW3" s="293"/>
      <c r="BX3" s="293"/>
      <c r="BY3" s="294"/>
    </row>
    <row r="4" spans="1:78" ht="15" customHeight="1" thickBot="1" x14ac:dyDescent="0.4">
      <c r="A4" s="310"/>
      <c r="B4" s="311"/>
      <c r="C4" s="311"/>
      <c r="D4" s="311"/>
      <c r="E4" s="311"/>
      <c r="F4" s="311"/>
      <c r="G4" s="311"/>
      <c r="H4" s="311"/>
      <c r="I4" s="311"/>
      <c r="J4" s="311"/>
      <c r="K4" s="311"/>
      <c r="L4" s="311"/>
      <c r="M4" s="312"/>
      <c r="N4" s="295" t="s">
        <v>12</v>
      </c>
      <c r="O4" s="296"/>
      <c r="P4" s="295" t="s">
        <v>17</v>
      </c>
      <c r="Q4" s="296"/>
      <c r="R4" s="295" t="s">
        <v>22</v>
      </c>
      <c r="S4" s="296"/>
      <c r="T4" s="295" t="s">
        <v>27</v>
      </c>
      <c r="U4" s="296"/>
      <c r="V4" s="297" t="s">
        <v>12</v>
      </c>
      <c r="W4" s="298"/>
      <c r="X4" s="299" t="s">
        <v>17</v>
      </c>
      <c r="Y4" s="298"/>
      <c r="Z4" s="299" t="s">
        <v>22</v>
      </c>
      <c r="AA4" s="298"/>
      <c r="AB4" s="299" t="s">
        <v>27</v>
      </c>
      <c r="AC4" s="298"/>
      <c r="AD4" s="295" t="s">
        <v>12</v>
      </c>
      <c r="AE4" s="296"/>
      <c r="AF4" s="295" t="s">
        <v>17</v>
      </c>
      <c r="AG4" s="296"/>
      <c r="AH4" s="295" t="s">
        <v>22</v>
      </c>
      <c r="AI4" s="296"/>
      <c r="AJ4" s="295" t="s">
        <v>27</v>
      </c>
      <c r="AK4" s="296"/>
      <c r="AL4" s="299" t="s">
        <v>12</v>
      </c>
      <c r="AM4" s="298"/>
      <c r="AN4" s="299" t="s">
        <v>17</v>
      </c>
      <c r="AO4" s="298"/>
      <c r="AP4" s="299" t="s">
        <v>22</v>
      </c>
      <c r="AQ4" s="298"/>
      <c r="AR4" s="299" t="s">
        <v>27</v>
      </c>
      <c r="AS4" s="298"/>
      <c r="AT4" s="295" t="s">
        <v>12</v>
      </c>
      <c r="AU4" s="296"/>
      <c r="AV4" s="295" t="s">
        <v>17</v>
      </c>
      <c r="AW4" s="296"/>
      <c r="AX4" s="295" t="s">
        <v>22</v>
      </c>
      <c r="AY4" s="296"/>
      <c r="AZ4" s="295" t="s">
        <v>27</v>
      </c>
      <c r="BA4" s="296"/>
      <c r="BB4" s="295" t="s">
        <v>12</v>
      </c>
      <c r="BC4" s="296"/>
      <c r="BD4" s="295" t="s">
        <v>17</v>
      </c>
      <c r="BE4" s="296"/>
      <c r="BF4" s="295" t="s">
        <v>22</v>
      </c>
      <c r="BG4" s="296"/>
      <c r="BH4" s="295" t="s">
        <v>27</v>
      </c>
      <c r="BI4" s="296"/>
      <c r="BJ4" s="295" t="s">
        <v>12</v>
      </c>
      <c r="BK4" s="296"/>
      <c r="BL4" s="295" t="s">
        <v>17</v>
      </c>
      <c r="BM4" s="296"/>
      <c r="BN4" s="295" t="s">
        <v>22</v>
      </c>
      <c r="BO4" s="296"/>
      <c r="BP4" s="295" t="s">
        <v>27</v>
      </c>
      <c r="BQ4" s="296"/>
      <c r="BR4" s="295" t="s">
        <v>12</v>
      </c>
      <c r="BS4" s="296"/>
      <c r="BT4" s="295" t="s">
        <v>17</v>
      </c>
      <c r="BU4" s="296"/>
      <c r="BV4" s="295" t="s">
        <v>22</v>
      </c>
      <c r="BW4" s="296"/>
      <c r="BX4" s="295" t="s">
        <v>27</v>
      </c>
      <c r="BY4" s="296"/>
    </row>
    <row r="5" spans="1:78" ht="41.25" customHeight="1" thickBot="1" x14ac:dyDescent="0.4">
      <c r="A5" s="238" t="s">
        <v>123</v>
      </c>
      <c r="B5" s="238" t="s">
        <v>124</v>
      </c>
      <c r="C5" s="238" t="s">
        <v>125</v>
      </c>
      <c r="D5" s="239" t="s">
        <v>126</v>
      </c>
      <c r="E5" s="239" t="s">
        <v>127</v>
      </c>
      <c r="F5" s="239" t="s">
        <v>128</v>
      </c>
      <c r="G5" s="239" t="s">
        <v>129</v>
      </c>
      <c r="H5" s="239" t="s">
        <v>130</v>
      </c>
      <c r="I5" s="239" t="s">
        <v>131</v>
      </c>
      <c r="J5" s="239" t="s">
        <v>132</v>
      </c>
      <c r="K5" s="239" t="s">
        <v>133</v>
      </c>
      <c r="L5" s="239" t="s">
        <v>134</v>
      </c>
      <c r="M5" s="240" t="s">
        <v>135</v>
      </c>
      <c r="N5" s="193" t="s">
        <v>256</v>
      </c>
      <c r="O5" s="194" t="s">
        <v>257</v>
      </c>
      <c r="P5" s="193" t="s">
        <v>256</v>
      </c>
      <c r="Q5" s="194" t="s">
        <v>257</v>
      </c>
      <c r="R5" s="193" t="s">
        <v>256</v>
      </c>
      <c r="S5" s="195" t="s">
        <v>257</v>
      </c>
      <c r="T5" s="196" t="s">
        <v>256</v>
      </c>
      <c r="U5" s="197" t="s">
        <v>257</v>
      </c>
      <c r="V5" s="198" t="s">
        <v>256</v>
      </c>
      <c r="W5" s="197" t="s">
        <v>257</v>
      </c>
      <c r="X5" s="196" t="s">
        <v>256</v>
      </c>
      <c r="Y5" s="197" t="s">
        <v>257</v>
      </c>
      <c r="Z5" s="196" t="s">
        <v>256</v>
      </c>
      <c r="AA5" s="197" t="s">
        <v>257</v>
      </c>
      <c r="AB5" s="196" t="s">
        <v>256</v>
      </c>
      <c r="AC5" s="197" t="s">
        <v>257</v>
      </c>
      <c r="AD5" s="196" t="s">
        <v>256</v>
      </c>
      <c r="AE5" s="197" t="s">
        <v>257</v>
      </c>
      <c r="AF5" s="196" t="s">
        <v>256</v>
      </c>
      <c r="AG5" s="197" t="s">
        <v>257</v>
      </c>
      <c r="AH5" s="196" t="s">
        <v>256</v>
      </c>
      <c r="AI5" s="197" t="s">
        <v>257</v>
      </c>
      <c r="AJ5" s="196" t="s">
        <v>256</v>
      </c>
      <c r="AK5" s="197" t="s">
        <v>257</v>
      </c>
      <c r="AL5" s="196" t="s">
        <v>256</v>
      </c>
      <c r="AM5" s="197" t="s">
        <v>257</v>
      </c>
      <c r="AN5" s="196" t="s">
        <v>256</v>
      </c>
      <c r="AO5" s="197" t="s">
        <v>257</v>
      </c>
      <c r="AP5" s="196" t="s">
        <v>256</v>
      </c>
      <c r="AQ5" s="197" t="s">
        <v>257</v>
      </c>
      <c r="AR5" s="196" t="s">
        <v>256</v>
      </c>
      <c r="AS5" s="197" t="s">
        <v>257</v>
      </c>
      <c r="AT5" s="196" t="s">
        <v>256</v>
      </c>
      <c r="AU5" s="197" t="s">
        <v>257</v>
      </c>
      <c r="AV5" s="196" t="s">
        <v>256</v>
      </c>
      <c r="AW5" s="197" t="s">
        <v>257</v>
      </c>
      <c r="AX5" s="196" t="s">
        <v>256</v>
      </c>
      <c r="AY5" s="197" t="s">
        <v>257</v>
      </c>
      <c r="AZ5" s="196" t="s">
        <v>256</v>
      </c>
      <c r="BA5" s="197" t="s">
        <v>257</v>
      </c>
      <c r="BB5" s="196" t="s">
        <v>256</v>
      </c>
      <c r="BC5" s="197" t="s">
        <v>257</v>
      </c>
      <c r="BD5" s="196" t="s">
        <v>256</v>
      </c>
      <c r="BE5" s="197" t="s">
        <v>257</v>
      </c>
      <c r="BF5" s="196" t="s">
        <v>256</v>
      </c>
      <c r="BG5" s="197" t="s">
        <v>257</v>
      </c>
      <c r="BH5" s="196" t="s">
        <v>256</v>
      </c>
      <c r="BI5" s="197" t="s">
        <v>257</v>
      </c>
      <c r="BJ5" s="196" t="s">
        <v>256</v>
      </c>
      <c r="BK5" s="197" t="s">
        <v>257</v>
      </c>
      <c r="BL5" s="196" t="s">
        <v>256</v>
      </c>
      <c r="BM5" s="197" t="s">
        <v>257</v>
      </c>
      <c r="BN5" s="196" t="s">
        <v>256</v>
      </c>
      <c r="BO5" s="197" t="s">
        <v>257</v>
      </c>
      <c r="BP5" s="196" t="s">
        <v>256</v>
      </c>
      <c r="BQ5" s="197" t="s">
        <v>257</v>
      </c>
      <c r="BR5" s="196" t="s">
        <v>256</v>
      </c>
      <c r="BS5" s="197" t="s">
        <v>257</v>
      </c>
      <c r="BT5" s="196" t="s">
        <v>256</v>
      </c>
      <c r="BU5" s="197" t="s">
        <v>257</v>
      </c>
      <c r="BV5" s="196" t="s">
        <v>256</v>
      </c>
      <c r="BW5" s="197" t="s">
        <v>257</v>
      </c>
      <c r="BX5" s="196" t="s">
        <v>256</v>
      </c>
      <c r="BY5" s="197" t="s">
        <v>257</v>
      </c>
      <c r="BZ5" s="199" t="s">
        <v>258</v>
      </c>
    </row>
    <row r="6" spans="1:78" ht="41.25" hidden="1" customHeight="1" x14ac:dyDescent="0.35">
      <c r="A6" s="200">
        <f>IF(+Info_Productos_Cuantitativo[[#This Row],[Producto No.]]="","",+Info_Productos_Cuantitativo[[#This Row],[Producto No.]])</f>
        <v>1</v>
      </c>
      <c r="B6" s="200" t="str">
        <f>IF(+Info_Productos_Cuantitativo[[#This Row],[Key]]="","",+Info_Productos_Cuantitativo[[#This Row],[Key]])</f>
        <v>1.</v>
      </c>
      <c r="C6" s="200" t="str">
        <f>IF(+Info_Productos_Cuantitativo[[#This Row],[Producto esperado]]="","",+Info_Productos_Cuantitativo[[#This Row],[Producto esperado]])</f>
        <v>1.1.1. Promoción y fortalecimiento de la actividad física para servidoras y servidores públicos del Distrito Capital</v>
      </c>
      <c r="D6" s="200" t="str">
        <f>IF(+Info_Productos_Cuantitativo[[#This Row],[Nombre indicador de Producto]]="","",+Info_Productos_Cuantitativo[[#This Row],[Nombre indicador de Producto]])</f>
        <v>Acciones para la promoción y fortalecimiento de la actividad física para servidoras y servidores públicos del Distrito Capital</v>
      </c>
      <c r="E6" s="200" t="str">
        <f>IF(+Info_Productos_Cuantitativo[[#This Row],[Sector Líder]]="","",+Info_Productos_Cuantitativo[[#This Row],[Sector Líder]])</f>
        <v>Gestión Pública </v>
      </c>
      <c r="F6" s="200">
        <f>IF(+Info_Productos_Cuantitativo[[#This Row],[Ponderación relativa del Producto (%)]]="","",+Info_Productos_Cuantitativo[[#This Row],[Ponderación relativa del Producto (%)]])</f>
        <v>0.02</v>
      </c>
      <c r="G6" s="200" t="str">
        <f>IF(+Info_Productos_Cuantitativo[[#This Row],[Valor Linea Base]]="","",+Info_Productos_Cuantitativo[[#This Row],[Valor Linea Base]])</f>
        <v/>
      </c>
      <c r="H6" s="200" t="str">
        <f>IF(+Info_Productos_Cuantitativo[[#This Row],[Tipo de anualización]]="","",+Info_Productos_Cuantitativo[[#This Row],[Tipo de anualización]])</f>
        <v>Creciente</v>
      </c>
      <c r="I6" s="200" t="str">
        <f>IF(+Info_Productos_Cuantitativo[[#This Row],[Periodicidad de medición del indicador]]="","",+Info_Productos_Cuantitativo[[#This Row],[Periodicidad de medición del indicador]])</f>
        <v>Anual</v>
      </c>
      <c r="J6" s="201">
        <f>IF(+Info_Productos_Cuantitativo[[#This Row],[Fecha de Inicio]]="","",+Info_Productos_Cuantitativo[[#This Row],[Fecha de Inicio]])</f>
        <v>44927</v>
      </c>
      <c r="K6" s="201">
        <f>IF(+Info_Productos_Cuantitativo[[#This Row],[Fecha de Finalización]]="","",+Info_Productos_Cuantitativo[[#This Row],[Fecha de Finalización]])</f>
        <v>46387</v>
      </c>
      <c r="L6" s="202" t="str">
        <f>IF(+Info_Productos_Cuantitativo[[#This Row],[Corte del último reporte]]="","",+Info_Productos_Cuantitativo[[#This Row],[Corte del último reporte]])</f>
        <v>Q2</v>
      </c>
      <c r="M6" s="202" t="str">
        <f>IF(+Info_Productos_Cuantitativo[[#This Row],[Año del último reporte]]="","",+Info_Productos_Cuantitativo[[#This Row],[Año del último reporte]])</f>
        <v>2025</v>
      </c>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3"/>
      <c r="AY6" s="203"/>
      <c r="AZ6" s="204" t="s">
        <v>259</v>
      </c>
      <c r="BA6" s="204" t="s">
        <v>260</v>
      </c>
      <c r="BB6" s="204" t="s">
        <v>261</v>
      </c>
      <c r="BC6" s="204" t="s">
        <v>262</v>
      </c>
      <c r="BD6" s="204"/>
      <c r="BE6" s="204"/>
      <c r="BF6" s="204" t="s">
        <v>263</v>
      </c>
      <c r="BG6" s="204" t="s">
        <v>264</v>
      </c>
      <c r="BH6" s="204" t="s">
        <v>265</v>
      </c>
      <c r="BI6" s="204" t="s">
        <v>264</v>
      </c>
      <c r="BJ6" s="205"/>
      <c r="BK6" s="205"/>
      <c r="BL6" s="205" t="s">
        <v>266</v>
      </c>
      <c r="BM6" s="205" t="s">
        <v>267</v>
      </c>
      <c r="BN6" s="205"/>
      <c r="BO6" s="205"/>
      <c r="BP6" s="205" t="s">
        <v>268</v>
      </c>
      <c r="BQ6" s="205" t="s">
        <v>264</v>
      </c>
      <c r="BR6" s="203"/>
      <c r="BS6" s="203"/>
      <c r="BT6" s="203"/>
      <c r="BU6" s="203"/>
      <c r="BV6" s="203"/>
      <c r="BW6" s="203"/>
      <c r="BX6" s="203"/>
      <c r="BY6" s="203"/>
      <c r="BZ6" s="204" t="s">
        <v>269</v>
      </c>
    </row>
    <row r="7" spans="1:78" ht="41.25" hidden="1" customHeight="1" x14ac:dyDescent="0.35">
      <c r="A7" s="200">
        <f>IF(+Info_Productos_Cuantitativo[[#This Row],[Producto No.]]="","",+Info_Productos_Cuantitativo[[#This Row],[Producto No.]])</f>
        <v>2</v>
      </c>
      <c r="B7" s="200" t="str">
        <f>IF(+Info_Productos_Cuantitativo[[#This Row],[Key]]="","",+Info_Productos_Cuantitativo[[#This Row],[Key]])</f>
        <v>1.</v>
      </c>
      <c r="C7" s="200" t="str">
        <f>IF(+Info_Productos_Cuantitativo[[#This Row],[Producto esperado]]="","",+Info_Productos_Cuantitativo[[#This Row],[Producto esperado]])</f>
        <v xml:space="preserve">1.1.2. Medición de factores culturales asociados a las prácticas recreativas y deportivas en la ciudad                                                         </v>
      </c>
      <c r="D7" s="200" t="str">
        <f>IF(+Info_Productos_Cuantitativo[[#This Row],[Nombre indicador de Producto]]="","",+Info_Productos_Cuantitativo[[#This Row],[Nombre indicador de Producto]])</f>
        <v xml:space="preserve">Medición de factores culturales asociados a las prácticas recreativas y deportivas en la ciudad desarrollado                                                                                </v>
      </c>
      <c r="E7" s="200" t="str">
        <f>IF(+Info_Productos_Cuantitativo[[#This Row],[Sector Líder]]="","",+Info_Productos_Cuantitativo[[#This Row],[Sector Líder]])</f>
        <v xml:space="preserve">Cultura, Recreación y Deporte </v>
      </c>
      <c r="F7" s="200">
        <f>IF(+Info_Productos_Cuantitativo[[#This Row],[Ponderación relativa del Producto (%)]]="","",+Info_Productos_Cuantitativo[[#This Row],[Ponderación relativa del Producto (%)]])</f>
        <v>0.01</v>
      </c>
      <c r="G7" s="200">
        <f>IF(+Info_Productos_Cuantitativo[[#This Row],[Valor Linea Base]]="","",+Info_Productos_Cuantitativo[[#This Row],[Valor Linea Base]])</f>
        <v>1</v>
      </c>
      <c r="H7" s="200" t="str">
        <f>IF(+Info_Productos_Cuantitativo[[#This Row],[Tipo de anualización]]="","",+Info_Productos_Cuantitativo[[#This Row],[Tipo de anualización]])</f>
        <v>Suma</v>
      </c>
      <c r="I7" s="200" t="str">
        <f>IF(+Info_Productos_Cuantitativo[[#This Row],[Periodicidad de medición del indicador]]="","",+Info_Productos_Cuantitativo[[#This Row],[Periodicidad de medición del indicador]])</f>
        <v>Anual</v>
      </c>
      <c r="J7" s="201">
        <f>IF(+Info_Productos_Cuantitativo[[#This Row],[Fecha de Inicio]]="","",+Info_Productos_Cuantitativo[[#This Row],[Fecha de Inicio]])</f>
        <v>44562</v>
      </c>
      <c r="K7" s="201">
        <f>IF(+Info_Productos_Cuantitativo[[#This Row],[Fecha de Finalización]]="","",+Info_Productos_Cuantitativo[[#This Row],[Fecha de Finalización]])</f>
        <v>48579</v>
      </c>
      <c r="L7" s="202" t="str">
        <f>IF(+Info_Productos_Cuantitativo[[#This Row],[Corte del último reporte]]="","",+Info_Productos_Cuantitativo[[#This Row],[Corte del último reporte]])</f>
        <v>Q2</v>
      </c>
      <c r="M7" s="202" t="str">
        <f>IF(+Info_Productos_Cuantitativo[[#This Row],[Año del último reporte]]="","",+Info_Productos_Cuantitativo[[#This Row],[Año del último reporte]])</f>
        <v>2025</v>
      </c>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3"/>
      <c r="AY7" s="203"/>
      <c r="AZ7" s="204"/>
      <c r="BA7" s="204"/>
      <c r="BB7" s="204" t="s">
        <v>270</v>
      </c>
      <c r="BC7" s="204"/>
      <c r="BD7" s="204"/>
      <c r="BE7" s="204"/>
      <c r="BF7" s="204"/>
      <c r="BG7" s="204"/>
      <c r="BH7" s="206" t="s">
        <v>271</v>
      </c>
      <c r="BI7" s="206"/>
      <c r="BJ7" s="205"/>
      <c r="BK7" s="205"/>
      <c r="BL7" s="205" t="s">
        <v>272</v>
      </c>
      <c r="BM7" s="205" t="s">
        <v>273</v>
      </c>
      <c r="BN7" s="205"/>
      <c r="BO7" s="205"/>
      <c r="BP7" s="205" t="s">
        <v>274</v>
      </c>
      <c r="BQ7" s="205" t="s">
        <v>273</v>
      </c>
      <c r="BR7" s="203"/>
      <c r="BS7" s="203"/>
      <c r="BT7" s="203"/>
      <c r="BU7" s="203"/>
      <c r="BV7" s="203"/>
      <c r="BW7" s="203"/>
      <c r="BX7" s="203"/>
      <c r="BY7" s="203"/>
      <c r="BZ7" s="204" t="s">
        <v>275</v>
      </c>
    </row>
    <row r="8" spans="1:78" ht="41.25" hidden="1" customHeight="1" x14ac:dyDescent="0.35">
      <c r="A8" s="200">
        <f>IF(+Info_Productos_Cuantitativo[[#This Row],[Producto No.]]="","",+Info_Productos_Cuantitativo[[#This Row],[Producto No.]])</f>
        <v>3</v>
      </c>
      <c r="B8" s="200" t="str">
        <f>IF(+Info_Productos_Cuantitativo[[#This Row],[Key]]="","",+Info_Productos_Cuantitativo[[#This Row],[Key]])</f>
        <v>1.</v>
      </c>
      <c r="C8" s="200" t="str">
        <f>IF(+Info_Productos_Cuantitativo[[#This Row],[Producto esperado]]="","",+Info_Productos_Cuantitativo[[#This Row],[Producto esperado]])</f>
        <v>1.1.3. Programas deportivos, recreativos y de actividad física en la atención de las diferentes poblaciones, en los espacios priorizados  para el desarrollo social integral.</v>
      </c>
      <c r="D8" s="200" t="str">
        <f>IF(+Info_Productos_Cuantitativo[[#This Row],[Nombre indicador de Producto]]="","",+Info_Productos_Cuantitativo[[#This Row],[Nombre indicador de Producto]])</f>
        <v xml:space="preserve">Atenciones a personas en actividades y procesos deportivos, de recreación y de actividad física en el eje de aprovechamiento del tiempo liberado de la modalidad desarrollo de capacidades para la generación de oportunidades. </v>
      </c>
      <c r="E8" s="200" t="str">
        <f>IF(+Info_Productos_Cuantitativo[[#This Row],[Sector Líder]]="","",+Info_Productos_Cuantitativo[[#This Row],[Sector Líder]])</f>
        <v>Integración Social</v>
      </c>
      <c r="F8" s="200">
        <f>IF(+Info_Productos_Cuantitativo[[#This Row],[Ponderación relativa del Producto (%)]]="","",+Info_Productos_Cuantitativo[[#This Row],[Ponderación relativa del Producto (%)]])</f>
        <v>0.01</v>
      </c>
      <c r="G8" s="200">
        <f>IF(+Info_Productos_Cuantitativo[[#This Row],[Valor Linea Base]]="","",+Info_Productos_Cuantitativo[[#This Row],[Valor Linea Base]])</f>
        <v>1</v>
      </c>
      <c r="H8" s="200" t="str">
        <f>IF(+Info_Productos_Cuantitativo[[#This Row],[Tipo de anualización]]="","",+Info_Productos_Cuantitativo[[#This Row],[Tipo de anualización]])</f>
        <v>Constante</v>
      </c>
      <c r="I8" s="200" t="str">
        <f>IF(+Info_Productos_Cuantitativo[[#This Row],[Periodicidad de medición del indicador]]="","",+Info_Productos_Cuantitativo[[#This Row],[Periodicidad de medición del indicador]])</f>
        <v>Semestral</v>
      </c>
      <c r="J8" s="201">
        <f>IF(+Info_Productos_Cuantitativo[[#This Row],[Fecha de Inicio]]="","",+Info_Productos_Cuantitativo[[#This Row],[Fecha de Inicio]])</f>
        <v>44927</v>
      </c>
      <c r="K8" s="201">
        <f>IF(+Info_Productos_Cuantitativo[[#This Row],[Fecha de Finalización]]="","",+Info_Productos_Cuantitativo[[#This Row],[Fecha de Finalización]])</f>
        <v>48579</v>
      </c>
      <c r="L8" s="202" t="str">
        <f>IF(+Info_Productos_Cuantitativo[[#This Row],[Corte del último reporte]]="","",+Info_Productos_Cuantitativo[[#This Row],[Corte del último reporte]])</f>
        <v>Q2</v>
      </c>
      <c r="M8" s="202" t="str">
        <f>IF(+Info_Productos_Cuantitativo[[#This Row],[Año del último reporte]]="","",+Info_Productos_Cuantitativo[[#This Row],[Año del último reporte]])</f>
        <v>2025</v>
      </c>
      <c r="N8" s="203"/>
      <c r="O8" s="203"/>
      <c r="P8" s="203"/>
      <c r="Q8" s="203"/>
      <c r="R8" s="203"/>
      <c r="S8" s="203"/>
      <c r="T8" s="203"/>
      <c r="U8" s="203"/>
      <c r="V8" s="203"/>
      <c r="W8" s="203"/>
      <c r="X8" s="203"/>
      <c r="Y8" s="203"/>
      <c r="Z8" s="203"/>
      <c r="AA8" s="203"/>
      <c r="AB8" s="203"/>
      <c r="AC8" s="203"/>
      <c r="AD8" s="203"/>
      <c r="AE8" s="203"/>
      <c r="AF8" s="203"/>
      <c r="AG8" s="203"/>
      <c r="AH8" s="203"/>
      <c r="AI8" s="203"/>
      <c r="AJ8" s="203"/>
      <c r="AK8" s="203"/>
      <c r="AL8" s="203"/>
      <c r="AM8" s="203"/>
      <c r="AN8" s="203"/>
      <c r="AO8" s="203"/>
      <c r="AP8" s="203"/>
      <c r="AQ8" s="203"/>
      <c r="AR8" s="203"/>
      <c r="AS8" s="203"/>
      <c r="AT8" s="203"/>
      <c r="AU8" s="203"/>
      <c r="AV8" s="203"/>
      <c r="AW8" s="203"/>
      <c r="AX8" s="203"/>
      <c r="AY8" s="203"/>
      <c r="AZ8" s="204"/>
      <c r="BA8" s="204"/>
      <c r="BB8" s="204" t="s">
        <v>276</v>
      </c>
      <c r="BC8" s="204" t="s">
        <v>277</v>
      </c>
      <c r="BD8" s="204" t="s">
        <v>278</v>
      </c>
      <c r="BE8" s="204" t="s">
        <v>279</v>
      </c>
      <c r="BF8" s="204"/>
      <c r="BG8" s="204"/>
      <c r="BH8" s="204" t="s">
        <v>280</v>
      </c>
      <c r="BI8" s="204" t="s">
        <v>281</v>
      </c>
      <c r="BJ8" s="205"/>
      <c r="BK8" s="205"/>
      <c r="BL8" s="205" t="s">
        <v>282</v>
      </c>
      <c r="BM8" s="205" t="s">
        <v>283</v>
      </c>
      <c r="BN8" s="205"/>
      <c r="BO8" s="205"/>
      <c r="BP8" s="205" t="s">
        <v>284</v>
      </c>
      <c r="BQ8" s="205" t="s">
        <v>285</v>
      </c>
      <c r="BR8" s="203"/>
      <c r="BS8" s="203"/>
      <c r="BT8" s="203"/>
      <c r="BU8" s="203"/>
      <c r="BV8" s="203"/>
      <c r="BW8" s="203"/>
      <c r="BX8" s="203"/>
      <c r="BY8" s="203"/>
      <c r="BZ8" s="204" t="s">
        <v>286</v>
      </c>
    </row>
    <row r="9" spans="1:78" ht="41.25" hidden="1" customHeight="1" x14ac:dyDescent="0.35">
      <c r="A9" s="200">
        <f>IF(+Info_Productos_Cuantitativo[[#This Row],[Producto No.]]="","",+Info_Productos_Cuantitativo[[#This Row],[Producto No.]])</f>
        <v>4</v>
      </c>
      <c r="B9" s="200" t="str">
        <f>IF(+Info_Productos_Cuantitativo[[#This Row],[Key]]="","",+Info_Productos_Cuantitativo[[#This Row],[Key]])</f>
        <v>1.</v>
      </c>
      <c r="C9" s="200" t="str">
        <f>IF(+Info_Productos_Cuantitativo[[#This Row],[Producto esperado]]="","",+Info_Productos_Cuantitativo[[#This Row],[Producto esperado]])</f>
        <v xml:space="preserve">1.1.4. Medición de la práctica de actividad física en los beneficiarios que participan en los programas de la Subdirección Técnica de Recreación en relación a las recomendaciones vigentes de la Organización Mundial de la Salud - OMS
</v>
      </c>
      <c r="D9" s="200" t="str">
        <f>IF(+Info_Productos_Cuantitativo[[#This Row],[Nombre indicador de Producto]]="","",+Info_Productos_Cuantitativo[[#This Row],[Nombre indicador de Producto]])</f>
        <v xml:space="preserve">Beneficiarios de los programas de la Subdirección Técnica de Recreación y Deportes que cumplen con las recomendaciones de la Organización Mundial de la Salud - OMS
</v>
      </c>
      <c r="E9" s="200" t="str">
        <f>IF(+Info_Productos_Cuantitativo[[#This Row],[Sector Líder]]="","",+Info_Productos_Cuantitativo[[#This Row],[Sector Líder]])</f>
        <v xml:space="preserve">Cultura, Recreación y Deporte </v>
      </c>
      <c r="F9" s="200">
        <f>IF(+Info_Productos_Cuantitativo[[#This Row],[Ponderación relativa del Producto (%)]]="","",+Info_Productos_Cuantitativo[[#This Row],[Ponderación relativa del Producto (%)]])</f>
        <v>0.01</v>
      </c>
      <c r="G9" s="200" t="str">
        <f>IF(+Info_Productos_Cuantitativo[[#This Row],[Valor Linea Base]]="","",+Info_Productos_Cuantitativo[[#This Row],[Valor Linea Base]])</f>
        <v/>
      </c>
      <c r="H9" s="200" t="str">
        <f>IF(+Info_Productos_Cuantitativo[[#This Row],[Tipo de anualización]]="","",+Info_Productos_Cuantitativo[[#This Row],[Tipo de anualización]])</f>
        <v>Suma</v>
      </c>
      <c r="I9" s="200" t="str">
        <f>IF(+Info_Productos_Cuantitativo[[#This Row],[Periodicidad de medición del indicador]]="","",+Info_Productos_Cuantitativo[[#This Row],[Periodicidad de medición del indicador]])</f>
        <v>Anual</v>
      </c>
      <c r="J9" s="201">
        <f>IF(+Info_Productos_Cuantitativo[[#This Row],[Fecha de Inicio]]="","",+Info_Productos_Cuantitativo[[#This Row],[Fecha de Inicio]])</f>
        <v>44927</v>
      </c>
      <c r="K9" s="201">
        <f>IF(+Info_Productos_Cuantitativo[[#This Row],[Fecha de Finalización]]="","",+Info_Productos_Cuantitativo[[#This Row],[Fecha de Finalización]])</f>
        <v>48579</v>
      </c>
      <c r="L9" s="202" t="str">
        <f>IF(+Info_Productos_Cuantitativo[[#This Row],[Corte del último reporte]]="","",+Info_Productos_Cuantitativo[[#This Row],[Corte del último reporte]])</f>
        <v>Q2</v>
      </c>
      <c r="M9" s="202" t="str">
        <f>IF(+Info_Productos_Cuantitativo[[#This Row],[Año del último reporte]]="","",+Info_Productos_Cuantitativo[[#This Row],[Año del último reporte]])</f>
        <v>2025</v>
      </c>
      <c r="N9" s="203"/>
      <c r="O9" s="203"/>
      <c r="P9" s="203"/>
      <c r="Q9" s="203"/>
      <c r="R9" s="203"/>
      <c r="S9" s="203"/>
      <c r="T9" s="203"/>
      <c r="U9" s="203"/>
      <c r="V9" s="203"/>
      <c r="W9" s="203"/>
      <c r="X9" s="203"/>
      <c r="Y9" s="203"/>
      <c r="Z9" s="203"/>
      <c r="AA9" s="203"/>
      <c r="AB9" s="203"/>
      <c r="AC9" s="203"/>
      <c r="AD9" s="203"/>
      <c r="AE9" s="203"/>
      <c r="AF9" s="203"/>
      <c r="AG9" s="203"/>
      <c r="AH9" s="203"/>
      <c r="AI9" s="203"/>
      <c r="AJ9" s="203"/>
      <c r="AK9" s="203"/>
      <c r="AL9" s="203"/>
      <c r="AM9" s="203"/>
      <c r="AN9" s="203"/>
      <c r="AO9" s="203"/>
      <c r="AP9" s="203"/>
      <c r="AQ9" s="203"/>
      <c r="AR9" s="203"/>
      <c r="AS9" s="203"/>
      <c r="AT9" s="203"/>
      <c r="AU9" s="203"/>
      <c r="AV9" s="203"/>
      <c r="AW9" s="203"/>
      <c r="AX9" s="203"/>
      <c r="AY9" s="203"/>
      <c r="AZ9" s="204"/>
      <c r="BA9" s="204"/>
      <c r="BB9" s="204" t="s">
        <v>287</v>
      </c>
      <c r="BC9" s="204" t="s">
        <v>288</v>
      </c>
      <c r="BD9" s="204"/>
      <c r="BE9" s="204"/>
      <c r="BF9" s="204" t="s">
        <v>289</v>
      </c>
      <c r="BG9" s="204" t="s">
        <v>290</v>
      </c>
      <c r="BH9" s="204" t="s">
        <v>291</v>
      </c>
      <c r="BI9" s="204" t="s">
        <v>292</v>
      </c>
      <c r="BJ9" s="205"/>
      <c r="BK9" s="205"/>
      <c r="BL9" s="207" t="s">
        <v>293</v>
      </c>
      <c r="BM9" s="205" t="s">
        <v>294</v>
      </c>
      <c r="BN9" s="205"/>
      <c r="BO9" s="205"/>
      <c r="BP9" s="205" t="s">
        <v>295</v>
      </c>
      <c r="BQ9" s="205" t="s">
        <v>296</v>
      </c>
      <c r="BR9" s="203"/>
      <c r="BS9" s="203"/>
      <c r="BT9" s="203"/>
      <c r="BU9" s="203"/>
      <c r="BV9" s="203"/>
      <c r="BW9" s="203"/>
      <c r="BX9" s="203"/>
      <c r="BY9" s="203"/>
      <c r="BZ9" s="204" t="s">
        <v>297</v>
      </c>
    </row>
    <row r="10" spans="1:78" ht="41.25" hidden="1" customHeight="1" x14ac:dyDescent="0.35">
      <c r="A10" s="200">
        <f>IF(+Info_Productos_Cuantitativo[[#This Row],[Producto No.]]="","",+Info_Productos_Cuantitativo[[#This Row],[Producto No.]])</f>
        <v>5</v>
      </c>
      <c r="B10" s="200" t="str">
        <f>IF(+Info_Productos_Cuantitativo[[#This Row],[Key]]="","",+Info_Productos_Cuantitativo[[#This Row],[Key]])</f>
        <v>1.</v>
      </c>
      <c r="C10" s="200" t="str">
        <f>IF(+Info_Productos_Cuantitativo[[#This Row],[Producto esperado]]="","",+Info_Productos_Cuantitativo[[#This Row],[Producto esperado]])</f>
        <v>1.1.5 Centros de interés en deporte</v>
      </c>
      <c r="D10" s="200" t="str">
        <f>IF(+Info_Productos_Cuantitativo[[#This Row],[Nombre indicador de Producto]]="","",+Info_Productos_Cuantitativo[[#This Row],[Nombre indicador de Producto]])</f>
        <v>Niños y niñas atendidos en los centros de interés en deporte</v>
      </c>
      <c r="E10" s="200" t="str">
        <f>IF(+Info_Productos_Cuantitativo[[#This Row],[Sector Líder]]="","",+Info_Productos_Cuantitativo[[#This Row],[Sector Líder]])</f>
        <v>Educación </v>
      </c>
      <c r="F10" s="200">
        <f>IF(+Info_Productos_Cuantitativo[[#This Row],[Ponderación relativa del Producto (%)]]="","",+Info_Productos_Cuantitativo[[#This Row],[Ponderación relativa del Producto (%)]])</f>
        <v>0.01</v>
      </c>
      <c r="G10" s="200">
        <f>IF(+Info_Productos_Cuantitativo[[#This Row],[Valor Linea Base]]="","",+Info_Productos_Cuantitativo[[#This Row],[Valor Linea Base]])</f>
        <v>28000</v>
      </c>
      <c r="H10" s="200" t="str">
        <f>IF(+Info_Productos_Cuantitativo[[#This Row],[Tipo de anualización]]="","",+Info_Productos_Cuantitativo[[#This Row],[Tipo de anualización]])</f>
        <v>Suma</v>
      </c>
      <c r="I10" s="200" t="str">
        <f>IF(+Info_Productos_Cuantitativo[[#This Row],[Periodicidad de medición del indicador]]="","",+Info_Productos_Cuantitativo[[#This Row],[Periodicidad de medición del indicador]])</f>
        <v>Anual</v>
      </c>
      <c r="J10" s="201">
        <f>IF(+Info_Productos_Cuantitativo[[#This Row],[Fecha de Inicio]]="","",+Info_Productos_Cuantitativo[[#This Row],[Fecha de Inicio]])</f>
        <v>44927</v>
      </c>
      <c r="K10" s="201">
        <f>IF(+Info_Productos_Cuantitativo[[#This Row],[Fecha de Finalización]]="","",+Info_Productos_Cuantitativo[[#This Row],[Fecha de Finalización]])</f>
        <v>48578</v>
      </c>
      <c r="L10" s="202" t="str">
        <f>IF(+Info_Productos_Cuantitativo[[#This Row],[Corte del último reporte]]="","",+Info_Productos_Cuantitativo[[#This Row],[Corte del último reporte]])</f>
        <v>Q2</v>
      </c>
      <c r="M10" s="202" t="str">
        <f>IF(+Info_Productos_Cuantitativo[[#This Row],[Año del último reporte]]="","",+Info_Productos_Cuantitativo[[#This Row],[Año del último reporte]])</f>
        <v>2025</v>
      </c>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03"/>
      <c r="AP10" s="203"/>
      <c r="AQ10" s="203"/>
      <c r="AR10" s="203"/>
      <c r="AS10" s="203"/>
      <c r="AT10" s="203"/>
      <c r="AU10" s="203"/>
      <c r="AV10" s="203"/>
      <c r="AW10" s="203"/>
      <c r="AX10" s="203"/>
      <c r="AY10" s="203"/>
      <c r="AZ10" s="204"/>
      <c r="BA10" s="204"/>
      <c r="BB10" s="204" t="s">
        <v>298</v>
      </c>
      <c r="BC10" s="204" t="s">
        <v>299</v>
      </c>
      <c r="BD10" s="204"/>
      <c r="BE10" s="204"/>
      <c r="BF10" s="204" t="s">
        <v>300</v>
      </c>
      <c r="BG10" s="204" t="s">
        <v>301</v>
      </c>
      <c r="BH10" s="204"/>
      <c r="BI10" s="204"/>
      <c r="BJ10" s="205"/>
      <c r="BK10" s="205"/>
      <c r="BL10" s="205" t="s">
        <v>302</v>
      </c>
      <c r="BM10" s="205" t="s">
        <v>303</v>
      </c>
      <c r="BN10" s="205"/>
      <c r="BO10" s="205"/>
      <c r="BP10" s="205" t="s">
        <v>304</v>
      </c>
      <c r="BQ10" s="208" t="s">
        <v>305</v>
      </c>
      <c r="BR10" s="203"/>
      <c r="BS10" s="203"/>
      <c r="BT10" s="203"/>
      <c r="BU10" s="203"/>
      <c r="BV10" s="203"/>
      <c r="BW10" s="203"/>
      <c r="BX10" s="203"/>
      <c r="BY10" s="203"/>
      <c r="BZ10" s="204" t="s">
        <v>306</v>
      </c>
    </row>
    <row r="11" spans="1:78" ht="41.25" hidden="1" customHeight="1" x14ac:dyDescent="0.35">
      <c r="A11" s="200">
        <f>IF(+Info_Productos_Cuantitativo[[#This Row],[Producto No.]]="","",+Info_Productos_Cuantitativo[[#This Row],[Producto No.]])</f>
        <v>6</v>
      </c>
      <c r="B11" s="200" t="str">
        <f>IF(+Info_Productos_Cuantitativo[[#This Row],[Key]]="","",+Info_Productos_Cuantitativo[[#This Row],[Key]])</f>
        <v>1.</v>
      </c>
      <c r="C11" s="200" t="str">
        <f>IF(+Info_Productos_Cuantitativo[[#This Row],[Producto esperado]]="","",+Info_Productos_Cuantitativo[[#This Row],[Producto esperado]])</f>
        <v>1.1.6. Intervenciones interinstitucionales para la seguridad y convivencia en entornos donde se adelantan actividades deportivas, recreativas y de actividad física, desde la perspectiva de la participación y la cultura ciudadana.</v>
      </c>
      <c r="D11" s="200" t="str">
        <f>IF(+Info_Productos_Cuantitativo[[#This Row],[Nombre indicador de Producto]]="","",+Info_Productos_Cuantitativo[[#This Row],[Nombre indicador de Producto]])</f>
        <v>Intervenciones interinstitucionales para  propiciar condiciones de seguridad y convivencia en entornos donde se adelantan actividades deportivas, recreativas y de actividad física, desde la perspectiva de la participación y la cultura ciudadana.</v>
      </c>
      <c r="E11" s="200" t="str">
        <f>IF(+Info_Productos_Cuantitativo[[#This Row],[Sector Líder]]="","",+Info_Productos_Cuantitativo[[#This Row],[Sector Líder]])</f>
        <v>Seguridad, Convivencia y Justicia</v>
      </c>
      <c r="F11" s="200">
        <f>IF(+Info_Productos_Cuantitativo[[#This Row],[Ponderación relativa del Producto (%)]]="","",+Info_Productos_Cuantitativo[[#This Row],[Ponderación relativa del Producto (%)]])</f>
        <v>0.01</v>
      </c>
      <c r="G11" s="200">
        <f>IF(+Info_Productos_Cuantitativo[[#This Row],[Valor Linea Base]]="","",+Info_Productos_Cuantitativo[[#This Row],[Valor Linea Base]])</f>
        <v>75</v>
      </c>
      <c r="H11" s="200" t="str">
        <f>IF(+Info_Productos_Cuantitativo[[#This Row],[Tipo de anualización]]="","",+Info_Productos_Cuantitativo[[#This Row],[Tipo de anualización]])</f>
        <v>Suma</v>
      </c>
      <c r="I11" s="200" t="str">
        <f>IF(+Info_Productos_Cuantitativo[[#This Row],[Periodicidad de medición del indicador]]="","",+Info_Productos_Cuantitativo[[#This Row],[Periodicidad de medición del indicador]])</f>
        <v>Trimestral</v>
      </c>
      <c r="J11" s="201">
        <f>IF(+Info_Productos_Cuantitativo[[#This Row],[Fecha de Inicio]]="","",+Info_Productos_Cuantitativo[[#This Row],[Fecha de Inicio]])</f>
        <v>44927</v>
      </c>
      <c r="K11" s="201">
        <f>IF(+Info_Productos_Cuantitativo[[#This Row],[Fecha de Finalización]]="","",+Info_Productos_Cuantitativo[[#This Row],[Fecha de Finalización]])</f>
        <v>48579</v>
      </c>
      <c r="L11" s="202" t="str">
        <f>IF(+Info_Productos_Cuantitativo[[#This Row],[Corte del último reporte]]="","",+Info_Productos_Cuantitativo[[#This Row],[Corte del último reporte]])</f>
        <v>Q2</v>
      </c>
      <c r="M11" s="202" t="str">
        <f>IF(+Info_Productos_Cuantitativo[[#This Row],[Año del último reporte]]="","",+Info_Productos_Cuantitativo[[#This Row],[Año del último reporte]])</f>
        <v>2025</v>
      </c>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03"/>
      <c r="AP11" s="203"/>
      <c r="AQ11" s="203"/>
      <c r="AR11" s="203"/>
      <c r="AS11" s="203"/>
      <c r="AT11" s="203"/>
      <c r="AU11" s="203"/>
      <c r="AV11" s="203"/>
      <c r="AW11" s="203"/>
      <c r="AX11" s="203"/>
      <c r="AY11" s="203"/>
      <c r="AZ11" s="204" t="s">
        <v>307</v>
      </c>
      <c r="BA11" s="204" t="s">
        <v>308</v>
      </c>
      <c r="BB11" s="204" t="s">
        <v>309</v>
      </c>
      <c r="BC11" s="204" t="s">
        <v>310</v>
      </c>
      <c r="BD11" s="204"/>
      <c r="BE11" s="204"/>
      <c r="BF11" s="204" t="s">
        <v>311</v>
      </c>
      <c r="BG11" s="204" t="s">
        <v>312</v>
      </c>
      <c r="BH11" s="204" t="s">
        <v>313</v>
      </c>
      <c r="BI11" s="204" t="s">
        <v>312</v>
      </c>
      <c r="BJ11" s="205" t="s">
        <v>314</v>
      </c>
      <c r="BK11" s="205" t="s">
        <v>315</v>
      </c>
      <c r="BL11" s="205" t="s">
        <v>316</v>
      </c>
      <c r="BM11" s="205" t="s">
        <v>317</v>
      </c>
      <c r="BN11" s="205"/>
      <c r="BO11" s="205"/>
      <c r="BP11" s="205" t="s">
        <v>318</v>
      </c>
      <c r="BQ11" s="205" t="s">
        <v>319</v>
      </c>
      <c r="BR11" s="203"/>
      <c r="BS11" s="203"/>
      <c r="BT11" s="203"/>
      <c r="BU11" s="203"/>
      <c r="BV11" s="203"/>
      <c r="BW11" s="203"/>
      <c r="BX11" s="203"/>
      <c r="BY11" s="203"/>
      <c r="BZ11" s="204" t="s">
        <v>320</v>
      </c>
    </row>
    <row r="12" spans="1:78" ht="41.25" hidden="1" customHeight="1" x14ac:dyDescent="0.35">
      <c r="A12" s="200">
        <f>IF(+Info_Productos_Cuantitativo[[#This Row],[Producto No.]]="","",+Info_Productos_Cuantitativo[[#This Row],[Producto No.]])</f>
        <v>7</v>
      </c>
      <c r="B12" s="200" t="str">
        <f>IF(+Info_Productos_Cuantitativo[[#This Row],[Key]]="","",+Info_Productos_Cuantitativo[[#This Row],[Key]])</f>
        <v>1.</v>
      </c>
      <c r="C12" s="200" t="str">
        <f>IF(+Info_Productos_Cuantitativo[[#This Row],[Producto esperado]]="","",+Info_Productos_Cuantitativo[[#This Row],[Producto esperado]])</f>
        <v xml:space="preserve">1.1.7. Acciones interinstitucionales de control y registro en parques priorizados en la ciudad, que aporten a la disuasión del delito y lograr entornos más seguros y confiables </v>
      </c>
      <c r="D12" s="200" t="str">
        <f>IF(+Info_Productos_Cuantitativo[[#This Row],[Nombre indicador de Producto]]="","",+Info_Productos_Cuantitativo[[#This Row],[Nombre indicador de Producto]])</f>
        <v>Acciones interinstitucionales de control y registro en parques priorizados en la ciudad, que aporten a la disuasión del delito y lograr entornos más seguros y confiables.</v>
      </c>
      <c r="E12" s="200" t="str">
        <f>IF(+Info_Productos_Cuantitativo[[#This Row],[Sector Líder]]="","",+Info_Productos_Cuantitativo[[#This Row],[Sector Líder]])</f>
        <v>Seguridad, Convivencia y Justicia</v>
      </c>
      <c r="F12" s="200">
        <f>IF(+Info_Productos_Cuantitativo[[#This Row],[Ponderación relativa del Producto (%)]]="","",+Info_Productos_Cuantitativo[[#This Row],[Ponderación relativa del Producto (%)]])</f>
        <v>0.01</v>
      </c>
      <c r="G12" s="200">
        <f>IF(+Info_Productos_Cuantitativo[[#This Row],[Valor Linea Base]]="","",+Info_Productos_Cuantitativo[[#This Row],[Valor Linea Base]])</f>
        <v>1200</v>
      </c>
      <c r="H12" s="200" t="str">
        <f>IF(+Info_Productos_Cuantitativo[[#This Row],[Tipo de anualización]]="","",+Info_Productos_Cuantitativo[[#This Row],[Tipo de anualización]])</f>
        <v>Suma</v>
      </c>
      <c r="I12" s="200" t="str">
        <f>IF(+Info_Productos_Cuantitativo[[#This Row],[Periodicidad de medición del indicador]]="","",+Info_Productos_Cuantitativo[[#This Row],[Periodicidad de medición del indicador]])</f>
        <v>Trimestral</v>
      </c>
      <c r="J12" s="201">
        <f>IF(+Info_Productos_Cuantitativo[[#This Row],[Fecha de Inicio]]="","",+Info_Productos_Cuantitativo[[#This Row],[Fecha de Inicio]])</f>
        <v>44927</v>
      </c>
      <c r="K12" s="201">
        <f>IF(+Info_Productos_Cuantitativo[[#This Row],[Fecha de Finalización]]="","",+Info_Productos_Cuantitativo[[#This Row],[Fecha de Finalización]])</f>
        <v>48579</v>
      </c>
      <c r="L12" s="202" t="str">
        <f>IF(+Info_Productos_Cuantitativo[[#This Row],[Corte del último reporte]]="","",+Info_Productos_Cuantitativo[[#This Row],[Corte del último reporte]])</f>
        <v>Q2</v>
      </c>
      <c r="M12" s="202" t="str">
        <f>IF(+Info_Productos_Cuantitativo[[#This Row],[Año del último reporte]]="","",+Info_Productos_Cuantitativo[[#This Row],[Año del último reporte]])</f>
        <v>2025</v>
      </c>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4" t="s">
        <v>321</v>
      </c>
      <c r="BA12" s="204" t="s">
        <v>322</v>
      </c>
      <c r="BB12" s="204" t="s">
        <v>323</v>
      </c>
      <c r="BC12" s="204" t="s">
        <v>324</v>
      </c>
      <c r="BD12" s="204"/>
      <c r="BE12" s="204"/>
      <c r="BF12" s="204" t="s">
        <v>325</v>
      </c>
      <c r="BG12" s="204" t="s">
        <v>326</v>
      </c>
      <c r="BH12" s="204" t="s">
        <v>327</v>
      </c>
      <c r="BI12" s="204" t="s">
        <v>328</v>
      </c>
      <c r="BJ12" s="205" t="s">
        <v>329</v>
      </c>
      <c r="BK12" s="205" t="s">
        <v>330</v>
      </c>
      <c r="BL12" s="207" t="s">
        <v>331</v>
      </c>
      <c r="BM12" s="205" t="s">
        <v>332</v>
      </c>
      <c r="BN12" s="205"/>
      <c r="BO12" s="205"/>
      <c r="BP12" s="205" t="s">
        <v>333</v>
      </c>
      <c r="BQ12" s="205" t="s">
        <v>334</v>
      </c>
      <c r="BR12" s="203"/>
      <c r="BS12" s="203"/>
      <c r="BT12" s="203"/>
      <c r="BU12" s="203"/>
      <c r="BV12" s="203"/>
      <c r="BW12" s="203"/>
      <c r="BX12" s="203"/>
      <c r="BY12" s="203"/>
      <c r="BZ12" s="204" t="s">
        <v>320</v>
      </c>
    </row>
    <row r="13" spans="1:78" s="214" customFormat="1" ht="408.9" customHeight="1" x14ac:dyDescent="0.35">
      <c r="A13" s="209">
        <f>IF(+Info_Productos_Cuantitativo[[#This Row],[Producto No.]]="","",+Info_Productos_Cuantitativo[[#This Row],[Producto No.]])</f>
        <v>8</v>
      </c>
      <c r="B13" s="200" t="str">
        <f>IF(+Info_Productos_Cuantitativo[[#This Row],[Key]]="","",+Info_Productos_Cuantitativo[[#This Row],[Key]])</f>
        <v>1.</v>
      </c>
      <c r="C13" s="219" t="str">
        <f>IF(+Info_Productos_Cuantitativo[[#This Row],[Producto esperado]]="","",+Info_Productos_Cuantitativo[[#This Row],[Producto esperado]])</f>
        <v>1.1.8. Estrategias deportivas para adolescentes y jóvenes en el Marco del Modelo Pedagógico del Instituto Distrital para la Protecciòn de la Niñez  y la Juventud - IDIPRON</v>
      </c>
      <c r="D13" s="219" t="str">
        <f>IF(+Info_Productos_Cuantitativo[[#This Row],[Nombre indicador de Producto]]="","",+Info_Productos_Cuantitativo[[#This Row],[Nombre indicador de Producto]])</f>
        <v>Adolescentes y jóvenes participantes en las diferentes estrategias deportivas en el Marco del Modelo Pedagógico del Instituto Distrital para la Protecciòn de la Niñez  y la Juventud - IDIPRON</v>
      </c>
      <c r="E13" s="219" t="str">
        <f>IF(+Info_Productos_Cuantitativo[[#This Row],[Sector Líder]]="","",+Info_Productos_Cuantitativo[[#This Row],[Sector Líder]])</f>
        <v>Integración Social</v>
      </c>
      <c r="F13" s="219">
        <f>IF(+Info_Productos_Cuantitativo[[#This Row],[Ponderación relativa del Producto (%)]]="","",+Info_Productos_Cuantitativo[[#This Row],[Ponderación relativa del Producto (%)]])</f>
        <v>0.01</v>
      </c>
      <c r="G13" s="209">
        <f>IF(+Info_Productos_Cuantitativo[[#This Row],[Valor Linea Base]]="","",+Info_Productos_Cuantitativo[[#This Row],[Valor Linea Base]])</f>
        <v>1071</v>
      </c>
      <c r="H13" s="209" t="str">
        <f>IF(+Info_Productos_Cuantitativo[[#This Row],[Tipo de anualización]]="","",+Info_Productos_Cuantitativo[[#This Row],[Tipo de anualización]])</f>
        <v>Creciente</v>
      </c>
      <c r="I13" s="209" t="str">
        <f>IF(+Info_Productos_Cuantitativo[[#This Row],[Periodicidad de medición del indicador]]="","",+Info_Productos_Cuantitativo[[#This Row],[Periodicidad de medición del indicador]])</f>
        <v>Semestral</v>
      </c>
      <c r="J13" s="210">
        <f>IF(+Info_Productos_Cuantitativo[[#This Row],[Fecha de Inicio]]="","",+Info_Productos_Cuantitativo[[#This Row],[Fecha de Inicio]])</f>
        <v>44835</v>
      </c>
      <c r="K13" s="210">
        <f>IF(+Info_Productos_Cuantitativo[[#This Row],[Fecha de Finalización]]="","",+Info_Productos_Cuantitativo[[#This Row],[Fecha de Finalización]])</f>
        <v>46387</v>
      </c>
      <c r="L13" s="202" t="str">
        <f>IF(+Info_Productos_Cuantitativo[[#This Row],[Corte del último reporte]]="","",+Info_Productos_Cuantitativo[[#This Row],[Corte del último reporte]])</f>
        <v>Q3</v>
      </c>
      <c r="M13" s="202" t="str">
        <f>IF(+Info_Productos_Cuantitativo[[#This Row],[Año del último reporte]]="","",+Info_Productos_Cuantitativo[[#This Row],[Año del último reporte]])</f>
        <v>2025</v>
      </c>
      <c r="N13" s="203"/>
      <c r="O13" s="203"/>
      <c r="P13" s="203"/>
      <c r="Q13" s="203"/>
      <c r="R13" s="203"/>
      <c r="S13" s="203"/>
      <c r="T13" s="211"/>
      <c r="U13" s="211"/>
      <c r="V13" s="203"/>
      <c r="W13" s="203"/>
      <c r="X13" s="203"/>
      <c r="Y13" s="203"/>
      <c r="Z13" s="203"/>
      <c r="AA13" s="203"/>
      <c r="AB13" s="211"/>
      <c r="AC13" s="211"/>
      <c r="AD13" s="203"/>
      <c r="AE13" s="203"/>
      <c r="AF13" s="203"/>
      <c r="AG13" s="203"/>
      <c r="AH13" s="203"/>
      <c r="AI13" s="203"/>
      <c r="AJ13" s="211"/>
      <c r="AK13" s="211"/>
      <c r="AL13" s="203"/>
      <c r="AM13" s="203"/>
      <c r="AN13" s="203"/>
      <c r="AO13" s="203"/>
      <c r="AP13" s="203"/>
      <c r="AQ13" s="203"/>
      <c r="AR13" s="211"/>
      <c r="AS13" s="211"/>
      <c r="AT13" s="203"/>
      <c r="AU13" s="203"/>
      <c r="AV13" s="203"/>
      <c r="AW13" s="203"/>
      <c r="AX13" s="203"/>
      <c r="AY13" s="203"/>
      <c r="AZ13" s="212" t="s">
        <v>335</v>
      </c>
      <c r="BA13" s="212" t="s">
        <v>336</v>
      </c>
      <c r="BB13" s="204" t="s">
        <v>337</v>
      </c>
      <c r="BC13" s="204"/>
      <c r="BD13" s="204"/>
      <c r="BE13" s="204"/>
      <c r="BF13" s="204"/>
      <c r="BG13" s="204"/>
      <c r="BH13" s="212" t="s">
        <v>338</v>
      </c>
      <c r="BI13" s="212" t="s">
        <v>339</v>
      </c>
      <c r="BJ13" s="212"/>
      <c r="BK13" s="212"/>
      <c r="BL13" s="213" t="s">
        <v>340</v>
      </c>
      <c r="BM13" s="212" t="s">
        <v>341</v>
      </c>
      <c r="BN13" s="212"/>
      <c r="BO13" s="212"/>
      <c r="BP13" s="212" t="s">
        <v>342</v>
      </c>
      <c r="BQ13" s="212" t="s">
        <v>343</v>
      </c>
      <c r="BR13" s="212"/>
      <c r="BS13" s="212"/>
      <c r="BT13" s="212" t="s">
        <v>344</v>
      </c>
      <c r="BU13" s="212" t="s">
        <v>345</v>
      </c>
      <c r="BV13" s="212" t="s">
        <v>346</v>
      </c>
      <c r="BW13" s="212" t="s">
        <v>347</v>
      </c>
      <c r="BX13" s="211"/>
      <c r="BY13" s="211"/>
      <c r="BZ13" s="212" t="s">
        <v>306</v>
      </c>
    </row>
    <row r="14" spans="1:78" ht="102" hidden="1" customHeight="1" x14ac:dyDescent="0.35">
      <c r="A14" s="200">
        <f>IF(+Info_Productos_Cuantitativo[[#This Row],[Producto No.]]="","",+Info_Productos_Cuantitativo[[#This Row],[Producto No.]])</f>
        <v>9</v>
      </c>
      <c r="B14" s="200" t="str">
        <f>IF(+Info_Productos_Cuantitativo[[#This Row],[Key]]="","",+Info_Productos_Cuantitativo[[#This Row],[Key]])</f>
        <v>1.</v>
      </c>
      <c r="C14" s="200" t="str">
        <f>IF(+Info_Productos_Cuantitativo[[#This Row],[Producto esperado]]="","",+Info_Productos_Cuantitativo[[#This Row],[Producto esperado]])</f>
        <v>1.1.9 Programa Naturaleza, Salud y Cultura</v>
      </c>
      <c r="D14" s="200" t="str">
        <f>IF(+Info_Productos_Cuantitativo[[#This Row],[Nombre indicador de Producto]]="","",+Info_Productos_Cuantitativo[[#This Row],[Nombre indicador de Producto]])</f>
        <v>Participantes de Actividad Física en el Programa Naturaleza, Salud y Cultura</v>
      </c>
      <c r="E14" s="200" t="str">
        <f>IF(+Info_Productos_Cuantitativo[[#This Row],[Sector Líder]]="","",+Info_Productos_Cuantitativo[[#This Row],[Sector Líder]])</f>
        <v>Ambiente</v>
      </c>
      <c r="F14" s="200">
        <f>IF(+Info_Productos_Cuantitativo[[#This Row],[Ponderación relativa del Producto (%)]]="","",+Info_Productos_Cuantitativo[[#This Row],[Ponderación relativa del Producto (%)]])</f>
        <v>0.02</v>
      </c>
      <c r="G14" s="200" t="str">
        <f>IF(+Info_Productos_Cuantitativo[[#This Row],[Valor Linea Base]]="","",+Info_Productos_Cuantitativo[[#This Row],[Valor Linea Base]])</f>
        <v/>
      </c>
      <c r="H14" s="200" t="str">
        <f>IF(+Info_Productos_Cuantitativo[[#This Row],[Tipo de anualización]]="","",+Info_Productos_Cuantitativo[[#This Row],[Tipo de anualización]])</f>
        <v>Suma</v>
      </c>
      <c r="I14" s="200" t="str">
        <f>IF(+Info_Productos_Cuantitativo[[#This Row],[Periodicidad de medición del indicador]]="","",+Info_Productos_Cuantitativo[[#This Row],[Periodicidad de medición del indicador]])</f>
        <v>Mensual</v>
      </c>
      <c r="J14" s="201">
        <f>IF(+Info_Productos_Cuantitativo[[#This Row],[Fecha de Inicio]]="","",+Info_Productos_Cuantitativo[[#This Row],[Fecha de Inicio]])</f>
        <v>44734</v>
      </c>
      <c r="K14" s="201">
        <f>IF(+Info_Productos_Cuantitativo[[#This Row],[Fecha de Finalización]]="","",+Info_Productos_Cuantitativo[[#This Row],[Fecha de Finalización]])</f>
        <v>48395</v>
      </c>
      <c r="L14" s="202" t="str">
        <f>IF(+Info_Productos_Cuantitativo[[#This Row],[Corte del último reporte]]="","",+Info_Productos_Cuantitativo[[#This Row],[Corte del último reporte]])</f>
        <v>Q2</v>
      </c>
      <c r="M14" s="202" t="str">
        <f>IF(+Info_Productos_Cuantitativo[[#This Row],[Año del último reporte]]="","",+Info_Productos_Cuantitativo[[#This Row],[Año del último reporte]])</f>
        <v>2025</v>
      </c>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4" t="s">
        <v>348</v>
      </c>
      <c r="BA14" s="204" t="s">
        <v>349</v>
      </c>
      <c r="BB14" s="204" t="s">
        <v>350</v>
      </c>
      <c r="BC14" s="204" t="s">
        <v>351</v>
      </c>
      <c r="BD14" s="204" t="s">
        <v>352</v>
      </c>
      <c r="BE14" s="204" t="s">
        <v>353</v>
      </c>
      <c r="BF14" s="204" t="s">
        <v>354</v>
      </c>
      <c r="BG14" s="204"/>
      <c r="BH14" s="204" t="s">
        <v>355</v>
      </c>
      <c r="BI14" s="204" t="s">
        <v>356</v>
      </c>
      <c r="BJ14" s="205"/>
      <c r="BK14" s="205"/>
      <c r="BL14" s="205" t="s">
        <v>357</v>
      </c>
      <c r="BM14" s="207" t="s">
        <v>358</v>
      </c>
      <c r="BN14" s="205"/>
      <c r="BO14" s="205"/>
      <c r="BP14" s="205" t="s">
        <v>359</v>
      </c>
      <c r="BQ14" s="205" t="s">
        <v>360</v>
      </c>
      <c r="BR14" s="203"/>
      <c r="BS14" s="203"/>
      <c r="BT14" s="203"/>
      <c r="BU14" s="203"/>
      <c r="BV14"/>
      <c r="BW14" s="203"/>
      <c r="BX14" s="203"/>
      <c r="BY14" s="203"/>
      <c r="BZ14" s="204" t="s">
        <v>361</v>
      </c>
    </row>
    <row r="15" spans="1:78" ht="409.6" hidden="1" x14ac:dyDescent="0.35">
      <c r="A15" s="200">
        <f>IF(+Info_Productos_Cuantitativo[[#This Row],[Producto No.]]="","",+Info_Productos_Cuantitativo[[#This Row],[Producto No.]])</f>
        <v>10</v>
      </c>
      <c r="B15" s="200" t="str">
        <f>IF(+Info_Productos_Cuantitativo[[#This Row],[Key]]="","",+Info_Productos_Cuantitativo[[#This Row],[Key]])</f>
        <v>1.</v>
      </c>
      <c r="C15" s="200" t="str">
        <f>IF(+Info_Productos_Cuantitativo[[#This Row],[Producto esperado]]="","",+Info_Productos_Cuantitativo[[#This Row],[Producto esperado]])</f>
        <v>1.1.10 Formación de dinamizadores en el Diplomado del Programa de Naturaleza, Salud y Cultura</v>
      </c>
      <c r="D15" s="200" t="str">
        <f>IF(+Info_Productos_Cuantitativo[[#This Row],[Nombre indicador de Producto]]="","",+Info_Productos_Cuantitativo[[#This Row],[Nombre indicador de Producto]])</f>
        <v>Dinamizadores formados en el Diplomado del Programa de Naturaleza, Salud y Cultura</v>
      </c>
      <c r="E15" s="200" t="str">
        <f>IF(+Info_Productos_Cuantitativo[[#This Row],[Sector Líder]]="","",+Info_Productos_Cuantitativo[[#This Row],[Sector Líder]])</f>
        <v>Ambiente</v>
      </c>
      <c r="F15" s="200">
        <f>IF(+Info_Productos_Cuantitativo[[#This Row],[Ponderación relativa del Producto (%)]]="","",+Info_Productos_Cuantitativo[[#This Row],[Ponderación relativa del Producto (%)]])</f>
        <v>0.02</v>
      </c>
      <c r="G15" s="200" t="str">
        <f>IF(+Info_Productos_Cuantitativo[[#This Row],[Valor Linea Base]]="","",+Info_Productos_Cuantitativo[[#This Row],[Valor Linea Base]])</f>
        <v/>
      </c>
      <c r="H15" s="200" t="str">
        <f>IF(+Info_Productos_Cuantitativo[[#This Row],[Tipo de anualización]]="","",+Info_Productos_Cuantitativo[[#This Row],[Tipo de anualización]])</f>
        <v>Suma</v>
      </c>
      <c r="I15" s="200" t="str">
        <f>IF(+Info_Productos_Cuantitativo[[#This Row],[Periodicidad de medición del indicador]]="","",+Info_Productos_Cuantitativo[[#This Row],[Periodicidad de medición del indicador]])</f>
        <v>Semestral</v>
      </c>
      <c r="J15" s="201">
        <f>IF(+Info_Productos_Cuantitativo[[#This Row],[Fecha de Inicio]]="","",+Info_Productos_Cuantitativo[[#This Row],[Fecha de Inicio]])</f>
        <v>44734</v>
      </c>
      <c r="K15" s="201">
        <f>IF(+Info_Productos_Cuantitativo[[#This Row],[Fecha de Finalización]]="","",+Info_Productos_Cuantitativo[[#This Row],[Fecha de Finalización]])</f>
        <v>48395</v>
      </c>
      <c r="L15" s="202" t="str">
        <f>IF(+Info_Productos_Cuantitativo[[#This Row],[Corte del último reporte]]="","",+Info_Productos_Cuantitativo[[#This Row],[Corte del último reporte]])</f>
        <v>Q2</v>
      </c>
      <c r="M15" s="202" t="str">
        <f>IF(+Info_Productos_Cuantitativo[[#This Row],[Año del último reporte]]="","",+Info_Productos_Cuantitativo[[#This Row],[Año del último reporte]])</f>
        <v>2025</v>
      </c>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3"/>
      <c r="AY15" s="203"/>
      <c r="AZ15" s="204" t="s">
        <v>362</v>
      </c>
      <c r="BA15" s="204" t="s">
        <v>363</v>
      </c>
      <c r="BB15" s="204" t="s">
        <v>364</v>
      </c>
      <c r="BC15" s="204" t="s">
        <v>349</v>
      </c>
      <c r="BD15" s="204" t="s">
        <v>365</v>
      </c>
      <c r="BE15" s="204" t="s">
        <v>366</v>
      </c>
      <c r="BF15" s="204"/>
      <c r="BG15" s="204"/>
      <c r="BH15" s="204" t="s">
        <v>348</v>
      </c>
      <c r="BI15" s="204" t="s">
        <v>367</v>
      </c>
      <c r="BJ15" s="205"/>
      <c r="BK15" s="205"/>
      <c r="BL15" s="205" t="s">
        <v>368</v>
      </c>
      <c r="BM15" s="205" t="s">
        <v>366</v>
      </c>
      <c r="BN15" s="205"/>
      <c r="BO15" s="205"/>
      <c r="BP15" s="205" t="s">
        <v>369</v>
      </c>
      <c r="BQ15" s="205" t="s">
        <v>370</v>
      </c>
      <c r="BR15" s="203"/>
      <c r="BS15" s="203"/>
      <c r="BT15" s="203"/>
      <c r="BU15" s="203"/>
      <c r="BV15" t="s">
        <v>371</v>
      </c>
      <c r="BW15" s="203"/>
      <c r="BX15" s="203"/>
      <c r="BY15" s="203"/>
      <c r="BZ15" s="204" t="s">
        <v>361</v>
      </c>
    </row>
    <row r="16" spans="1:78" ht="409.6" hidden="1" x14ac:dyDescent="0.35">
      <c r="A16" s="200">
        <f>IF(+Info_Productos_Cuantitativo[[#This Row],[Producto No.]]="","",+Info_Productos_Cuantitativo[[#This Row],[Producto No.]])</f>
        <v>11</v>
      </c>
      <c r="B16" s="200" t="str">
        <f>IF(+Info_Productos_Cuantitativo[[#This Row],[Key]]="","",+Info_Productos_Cuantitativo[[#This Row],[Key]])</f>
        <v>1.</v>
      </c>
      <c r="C16" s="200" t="str">
        <f>IF(+Info_Productos_Cuantitativo[[#This Row],[Producto esperado]]="","",+Info_Productos_Cuantitativo[[#This Row],[Producto esperado]])</f>
        <v>1.1.11 Articulaciòn de Regiòn RAP-E y Regiòn Metropolitana Bogotá-Cundinamarca para incentivar el deporte la recreaciòn la actividad fìsica y el turismo en torno al uso de la bicicleta de montaña</v>
      </c>
      <c r="D16" s="200" t="str">
        <f>IF(+Info_Productos_Cuantitativo[[#This Row],[Nombre indicador de Producto]]="","",+Info_Productos_Cuantitativo[[#This Row],[Nombre indicador de Producto]])</f>
        <v>Actividades realizadas en articulación con las instancias de Bogotá Región RAP-E y Región Metropolitana Bogotá-Cundinamarca.</v>
      </c>
      <c r="E16" s="200" t="str">
        <f>IF(+Info_Productos_Cuantitativo[[#This Row],[Sector Líder]]="","",+Info_Productos_Cuantitativo[[#This Row],[Sector Líder]])</f>
        <v xml:space="preserve">Cultura, Recreación y Deporte </v>
      </c>
      <c r="F16" s="200">
        <f>IF(+Info_Productos_Cuantitativo[[#This Row],[Ponderación relativa del Producto (%)]]="","",+Info_Productos_Cuantitativo[[#This Row],[Ponderación relativa del Producto (%)]])</f>
        <v>0.02</v>
      </c>
      <c r="G16" s="200" t="str">
        <f>IF(+Info_Productos_Cuantitativo[[#This Row],[Valor Linea Base]]="","",+Info_Productos_Cuantitativo[[#This Row],[Valor Linea Base]])</f>
        <v/>
      </c>
      <c r="H16" s="200" t="str">
        <f>IF(+Info_Productos_Cuantitativo[[#This Row],[Tipo de anualización]]="","",+Info_Productos_Cuantitativo[[#This Row],[Tipo de anualización]])</f>
        <v>Suma</v>
      </c>
      <c r="I16" s="200" t="str">
        <f>IF(+Info_Productos_Cuantitativo[[#This Row],[Periodicidad de medición del indicador]]="","",+Info_Productos_Cuantitativo[[#This Row],[Periodicidad de medición del indicador]])</f>
        <v>Semestral</v>
      </c>
      <c r="J16" s="201">
        <f>IF(+Info_Productos_Cuantitativo[[#This Row],[Fecha de Inicio]]="","",+Info_Productos_Cuantitativo[[#This Row],[Fecha de Inicio]])</f>
        <v>44562</v>
      </c>
      <c r="K16" s="201">
        <f>IF(+Info_Productos_Cuantitativo[[#This Row],[Fecha de Finalización]]="","",+Info_Productos_Cuantitativo[[#This Row],[Fecha de Finalización]])</f>
        <v>413821</v>
      </c>
      <c r="L16" s="202" t="str">
        <f>IF(+Info_Productos_Cuantitativo[[#This Row],[Corte del último reporte]]="","",+Info_Productos_Cuantitativo[[#This Row],[Corte del último reporte]])</f>
        <v>Q2</v>
      </c>
      <c r="M16" s="202" t="str">
        <f>IF(+Info_Productos_Cuantitativo[[#This Row],[Año del último reporte]]="","",+Info_Productos_Cuantitativo[[#This Row],[Año del último reporte]])</f>
        <v>2025</v>
      </c>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4" t="s">
        <v>372</v>
      </c>
      <c r="BA16" s="204" t="s">
        <v>373</v>
      </c>
      <c r="BB16" s="204" t="s">
        <v>374</v>
      </c>
      <c r="BC16" s="204"/>
      <c r="BD16" s="204" t="s">
        <v>375</v>
      </c>
      <c r="BE16" s="204"/>
      <c r="BF16" s="204" t="s">
        <v>376</v>
      </c>
      <c r="BG16" s="204" t="s">
        <v>376</v>
      </c>
      <c r="BH16" s="204" t="s">
        <v>377</v>
      </c>
      <c r="BI16" s="204" t="s">
        <v>378</v>
      </c>
      <c r="BJ16" s="205"/>
      <c r="BK16" s="205"/>
      <c r="BL16" s="205" t="s">
        <v>379</v>
      </c>
      <c r="BM16" s="205" t="s">
        <v>380</v>
      </c>
      <c r="BN16" s="205"/>
      <c r="BO16" s="205"/>
      <c r="BP16" s="208" t="s">
        <v>381</v>
      </c>
      <c r="BQ16" s="205" t="s">
        <v>382</v>
      </c>
      <c r="BR16" s="203"/>
      <c r="BS16" s="203"/>
      <c r="BT16" s="203"/>
      <c r="BU16" s="203"/>
      <c r="BV16"/>
      <c r="BW16" s="203"/>
      <c r="BX16" s="203"/>
      <c r="BY16" s="203"/>
      <c r="BZ16" s="204" t="s">
        <v>383</v>
      </c>
    </row>
    <row r="17" spans="1:78" ht="409.6" hidden="1" x14ac:dyDescent="0.35">
      <c r="A17" s="200">
        <f>IF(+Info_Productos_Cuantitativo[[#This Row],[Producto No.]]="","",+Info_Productos_Cuantitativo[[#This Row],[Producto No.]])</f>
        <v>12</v>
      </c>
      <c r="B17" s="200" t="str">
        <f>IF(+Info_Productos_Cuantitativo[[#This Row],[Key]]="","",+Info_Productos_Cuantitativo[[#This Row],[Key]])</f>
        <v>1.</v>
      </c>
      <c r="C17" s="200" t="str">
        <f>IF(+Info_Productos_Cuantitativo[[#This Row],[Producto esperado]]="","",+Info_Productos_Cuantitativo[[#This Row],[Producto esperado]])</f>
        <v xml:space="preserve">1.2.1. Organizaciones sociales y comunitarias que promueven el deporte en ruta de fortalecimiento 
</v>
      </c>
      <c r="D17" s="200" t="str">
        <f>IF(+Info_Productos_Cuantitativo[[#This Row],[Nombre indicador de Producto]]="","",+Info_Productos_Cuantitativo[[#This Row],[Nombre indicador de Producto]])</f>
        <v xml:space="preserve">Organizaciones sociales y comunitarias que promueven el deporte en ruta de fortalecimiento </v>
      </c>
      <c r="E17" s="200" t="str">
        <f>IF(+Info_Productos_Cuantitativo[[#This Row],[Sector Líder]]="","",+Info_Productos_Cuantitativo[[#This Row],[Sector Líder]])</f>
        <v>Gobierno</v>
      </c>
      <c r="F17" s="200">
        <f>IF(+Info_Productos_Cuantitativo[[#This Row],[Ponderación relativa del Producto (%)]]="","",+Info_Productos_Cuantitativo[[#This Row],[Ponderación relativa del Producto (%)]])</f>
        <v>0.04</v>
      </c>
      <c r="G17" s="200" t="str">
        <f>IF(+Info_Productos_Cuantitativo[[#This Row],[Valor Linea Base]]="","",+Info_Productos_Cuantitativo[[#This Row],[Valor Linea Base]])</f>
        <v/>
      </c>
      <c r="H17" s="200" t="str">
        <f>IF(+Info_Productos_Cuantitativo[[#This Row],[Tipo de anualización]]="","",+Info_Productos_Cuantitativo[[#This Row],[Tipo de anualización]])</f>
        <v>Suma</v>
      </c>
      <c r="I17" s="200" t="str">
        <f>IF(+Info_Productos_Cuantitativo[[#This Row],[Periodicidad de medición del indicador]]="","",+Info_Productos_Cuantitativo[[#This Row],[Periodicidad de medición del indicador]])</f>
        <v>Anual</v>
      </c>
      <c r="J17" s="201">
        <f>IF(+Info_Productos_Cuantitativo[[#This Row],[Fecha de Inicio]]="","",+Info_Productos_Cuantitativo[[#This Row],[Fecha de Inicio]])</f>
        <v>44562</v>
      </c>
      <c r="K17" s="201">
        <f>IF(+Info_Productos_Cuantitativo[[#This Row],[Fecha de Finalización]]="","",+Info_Productos_Cuantitativo[[#This Row],[Fecha de Finalización]])</f>
        <v>46022</v>
      </c>
      <c r="L17" s="202" t="str">
        <f>IF(+Info_Productos_Cuantitativo[[#This Row],[Corte del último reporte]]="","",+Info_Productos_Cuantitativo[[#This Row],[Corte del último reporte]])</f>
        <v>Q2</v>
      </c>
      <c r="M17" s="202" t="str">
        <f>IF(+Info_Productos_Cuantitativo[[#This Row],[Año del último reporte]]="","",+Info_Productos_Cuantitativo[[#This Row],[Año del último reporte]])</f>
        <v>2025</v>
      </c>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4" t="s">
        <v>384</v>
      </c>
      <c r="BA17" s="204" t="s">
        <v>385</v>
      </c>
      <c r="BB17" s="204" t="s">
        <v>386</v>
      </c>
      <c r="BC17" s="204" t="s">
        <v>386</v>
      </c>
      <c r="BD17" s="204"/>
      <c r="BE17" s="204"/>
      <c r="BF17" s="204"/>
      <c r="BG17" s="204"/>
      <c r="BH17" s="204" t="s">
        <v>387</v>
      </c>
      <c r="BI17" s="204" t="s">
        <v>388</v>
      </c>
      <c r="BJ17" s="205"/>
      <c r="BK17" s="205"/>
      <c r="BL17" s="205" t="s">
        <v>389</v>
      </c>
      <c r="BM17" s="205" t="s">
        <v>390</v>
      </c>
      <c r="BN17" s="205"/>
      <c r="BO17" s="205"/>
      <c r="BP17" s="205" t="s">
        <v>391</v>
      </c>
      <c r="BQ17" s="205" t="s">
        <v>392</v>
      </c>
      <c r="BR17" s="203"/>
      <c r="BS17" s="203"/>
      <c r="BT17" s="203"/>
      <c r="BU17" s="203"/>
      <c r="BV17" t="s">
        <v>393</v>
      </c>
      <c r="BW17" s="203"/>
      <c r="BX17" s="203"/>
      <c r="BY17" s="203"/>
      <c r="BZ17" s="204" t="s">
        <v>394</v>
      </c>
    </row>
    <row r="18" spans="1:78" ht="409.6" hidden="1" x14ac:dyDescent="0.35">
      <c r="A18" s="200">
        <f>IF(+Info_Productos_Cuantitativo[[#This Row],[Producto No.]]="","",+Info_Productos_Cuantitativo[[#This Row],[Producto No.]])</f>
        <v>13</v>
      </c>
      <c r="B18" s="200" t="str">
        <f>IF(+Info_Productos_Cuantitativo[[#This Row],[Key]]="","",+Info_Productos_Cuantitativo[[#This Row],[Key]])</f>
        <v>1.</v>
      </c>
      <c r="C18" s="200" t="str">
        <f>IF(+Info_Productos_Cuantitativo[[#This Row],[Producto esperado]]="","",+Info_Productos_Cuantitativo[[#This Row],[Producto esperado]])</f>
        <v xml:space="preserve">1.2.2. Articulaciones generadas con el sector privado para el incremento de actividades recreativas, deportivas y de actividad física. 
</v>
      </c>
      <c r="D18" s="200" t="str">
        <f>IF(+Info_Productos_Cuantitativo[[#This Row],[Nombre indicador de Producto]]="","",+Info_Productos_Cuantitativo[[#This Row],[Nombre indicador de Producto]])</f>
        <v>Actividades generadas de las  articulaciones con el sector privado para el incremento de actividades recreativas, deportivas y de actividad física.</v>
      </c>
      <c r="E18" s="200" t="str">
        <f>IF(+Info_Productos_Cuantitativo[[#This Row],[Sector Líder]]="","",+Info_Productos_Cuantitativo[[#This Row],[Sector Líder]])</f>
        <v xml:space="preserve">Cultura, Recreación y Deporte </v>
      </c>
      <c r="F18" s="200">
        <f>IF(+Info_Productos_Cuantitativo[[#This Row],[Ponderación relativa del Producto (%)]]="","",+Info_Productos_Cuantitativo[[#This Row],[Ponderación relativa del Producto (%)]])</f>
        <v>0.03</v>
      </c>
      <c r="G18" s="200">
        <f>IF(+Info_Productos_Cuantitativo[[#This Row],[Valor Linea Base]]="","",+Info_Productos_Cuantitativo[[#This Row],[Valor Linea Base]])</f>
        <v>30</v>
      </c>
      <c r="H18" s="200" t="str">
        <f>IF(+Info_Productos_Cuantitativo[[#This Row],[Tipo de anualización]]="","",+Info_Productos_Cuantitativo[[#This Row],[Tipo de anualización]])</f>
        <v>Suma</v>
      </c>
      <c r="I18" s="200" t="str">
        <f>IF(+Info_Productos_Cuantitativo[[#This Row],[Periodicidad de medición del indicador]]="","",+Info_Productos_Cuantitativo[[#This Row],[Periodicidad de medición del indicador]])</f>
        <v>Trimestral</v>
      </c>
      <c r="J18" s="201">
        <f>IF(+Info_Productos_Cuantitativo[[#This Row],[Fecha de Inicio]]="","",+Info_Productos_Cuantitativo[[#This Row],[Fecha de Inicio]])</f>
        <v>44562</v>
      </c>
      <c r="K18" s="201">
        <f>IF(+Info_Productos_Cuantitativo[[#This Row],[Fecha de Finalización]]="","",+Info_Productos_Cuantitativo[[#This Row],[Fecha de Finalización]])</f>
        <v>413821</v>
      </c>
      <c r="L18" s="202" t="str">
        <f>IF(+Info_Productos_Cuantitativo[[#This Row],[Corte del último reporte]]="","",+Info_Productos_Cuantitativo[[#This Row],[Corte del último reporte]])</f>
        <v>Q2</v>
      </c>
      <c r="M18" s="202" t="str">
        <f>IF(+Info_Productos_Cuantitativo[[#This Row],[Año del último reporte]]="","",+Info_Productos_Cuantitativo[[#This Row],[Año del último reporte]])</f>
        <v>2025</v>
      </c>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4" t="s">
        <v>395</v>
      </c>
      <c r="BA18" s="204" t="s">
        <v>396</v>
      </c>
      <c r="BB18" s="204" t="s">
        <v>397</v>
      </c>
      <c r="BC18" s="204" t="s">
        <v>398</v>
      </c>
      <c r="BD18" s="204" t="s">
        <v>399</v>
      </c>
      <c r="BE18" s="204" t="s">
        <v>400</v>
      </c>
      <c r="BF18" s="204" t="s">
        <v>401</v>
      </c>
      <c r="BG18" s="204" t="s">
        <v>402</v>
      </c>
      <c r="BH18" s="204" t="s">
        <v>403</v>
      </c>
      <c r="BI18" s="204" t="s">
        <v>404</v>
      </c>
      <c r="BJ18" s="205"/>
      <c r="BK18" s="205"/>
      <c r="BL18" s="205" t="s">
        <v>405</v>
      </c>
      <c r="BM18" s="205" t="s">
        <v>406</v>
      </c>
      <c r="BN18" s="205"/>
      <c r="BO18" s="205"/>
      <c r="BP18" s="205" t="s">
        <v>407</v>
      </c>
      <c r="BQ18" s="205" t="s">
        <v>408</v>
      </c>
      <c r="BR18" s="203"/>
      <c r="BS18" s="203"/>
      <c r="BT18" s="203"/>
      <c r="BU18" s="203"/>
      <c r="BV18"/>
      <c r="BW18" s="203"/>
      <c r="BX18" s="203"/>
      <c r="BY18" s="203"/>
      <c r="BZ18" s="204" t="s">
        <v>409</v>
      </c>
    </row>
    <row r="19" spans="1:78" ht="27" hidden="1" customHeight="1" x14ac:dyDescent="0.35">
      <c r="A19" s="200">
        <f>IF(+Info_Productos_Cuantitativo[[#This Row],[Producto No.]]="","",+Info_Productos_Cuantitativo[[#This Row],[Producto No.]])</f>
        <v>14</v>
      </c>
      <c r="B19" s="200" t="str">
        <f>IF(+Info_Productos_Cuantitativo[[#This Row],[Key]]="","",+Info_Productos_Cuantitativo[[#This Row],[Key]])</f>
        <v>2.</v>
      </c>
      <c r="C19" s="200" t="str">
        <f>IF(+Info_Productos_Cuantitativo[[#This Row],[Producto esperado]]="","",+Info_Productos_Cuantitativo[[#This Row],[Producto esperado]])</f>
        <v>2.1.1 Medición de la participación de la economía del sector deporte en el PIB de la ciudad</v>
      </c>
      <c r="D19" s="200" t="str">
        <f>IF(+Info_Productos_Cuantitativo[[#This Row],[Nombre indicador de Producto]]="","",+Info_Productos_Cuantitativo[[#This Row],[Nombre indicador de Producto]])</f>
        <v>Documentos de medición de la participación de la economía del sector deporte en el PIB de la ciudad</v>
      </c>
      <c r="E19" s="200" t="str">
        <f>IF(+Info_Productos_Cuantitativo[[#This Row],[Sector Líder]]="","",+Info_Productos_Cuantitativo[[#This Row],[Sector Líder]])</f>
        <v xml:space="preserve">Cultura, Recreación y Deporte </v>
      </c>
      <c r="F19" s="200">
        <f>IF(+Info_Productos_Cuantitativo[[#This Row],[Ponderación relativa del Producto (%)]]="","",+Info_Productos_Cuantitativo[[#This Row],[Ponderación relativa del Producto (%)]])</f>
        <v>0.05</v>
      </c>
      <c r="G19" s="200" t="str">
        <f>IF(+Info_Productos_Cuantitativo[[#This Row],[Valor Linea Base]]="","",+Info_Productos_Cuantitativo[[#This Row],[Valor Linea Base]])</f>
        <v/>
      </c>
      <c r="H19" s="200" t="str">
        <f>IF(+Info_Productos_Cuantitativo[[#This Row],[Tipo de anualización]]="","",+Info_Productos_Cuantitativo[[#This Row],[Tipo de anualización]])</f>
        <v>Suma</v>
      </c>
      <c r="I19" s="200" t="str">
        <f>IF(+Info_Productos_Cuantitativo[[#This Row],[Periodicidad de medición del indicador]]="","",+Info_Productos_Cuantitativo[[#This Row],[Periodicidad de medición del indicador]])</f>
        <v>Anual</v>
      </c>
      <c r="J19" s="201">
        <f>IF(+Info_Productos_Cuantitativo[[#This Row],[Fecha de Inicio]]="","",+Info_Productos_Cuantitativo[[#This Row],[Fecha de Inicio]])</f>
        <v>44835</v>
      </c>
      <c r="K19" s="201">
        <f>IF(+Info_Productos_Cuantitativo[[#This Row],[Fecha de Finalización]]="","",+Info_Productos_Cuantitativo[[#This Row],[Fecha de Finalización]])</f>
        <v>413090</v>
      </c>
      <c r="L19" s="202" t="str">
        <f>IF(+Info_Productos_Cuantitativo[[#This Row],[Corte del último reporte]]="","",+Info_Productos_Cuantitativo[[#This Row],[Corte del último reporte]])</f>
        <v>Q2</v>
      </c>
      <c r="M19" s="202" t="str">
        <f>IF(+Info_Productos_Cuantitativo[[#This Row],[Año del último reporte]]="","",+Info_Productos_Cuantitativo[[#This Row],[Año del último reporte]])</f>
        <v>2025</v>
      </c>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4" t="s">
        <v>410</v>
      </c>
      <c r="BA19" s="204" t="s">
        <v>411</v>
      </c>
      <c r="BB19" s="204" t="s">
        <v>412</v>
      </c>
      <c r="BC19" s="204" t="s">
        <v>413</v>
      </c>
      <c r="BD19" s="204"/>
      <c r="BE19" s="204"/>
      <c r="BF19" s="204"/>
      <c r="BG19" s="204"/>
      <c r="BH19" s="204" t="s">
        <v>414</v>
      </c>
      <c r="BI19" s="204" t="s">
        <v>413</v>
      </c>
      <c r="BJ19" s="205"/>
      <c r="BK19" s="205"/>
      <c r="BL19" s="205" t="s">
        <v>415</v>
      </c>
      <c r="BM19" s="205" t="s">
        <v>416</v>
      </c>
      <c r="BN19" s="205"/>
      <c r="BO19" s="205"/>
      <c r="BP19" s="205" t="s">
        <v>417</v>
      </c>
      <c r="BQ19" s="205" t="s">
        <v>416</v>
      </c>
      <c r="BR19" s="203"/>
      <c r="BS19" s="203"/>
      <c r="BT19" s="203"/>
      <c r="BU19" s="203"/>
      <c r="BV19" t="s">
        <v>418</v>
      </c>
      <c r="BW19" s="203"/>
      <c r="BX19" s="203"/>
      <c r="BY19" s="203"/>
      <c r="BZ19" s="204" t="s">
        <v>419</v>
      </c>
    </row>
    <row r="20" spans="1:78" ht="409.6" hidden="1" x14ac:dyDescent="0.35">
      <c r="A20" s="200">
        <f>IF(+Info_Productos_Cuantitativo[[#This Row],[Producto No.]]="","",+Info_Productos_Cuantitativo[[#This Row],[Producto No.]])</f>
        <v>15</v>
      </c>
      <c r="B20" s="200" t="str">
        <f>IF(+Info_Productos_Cuantitativo[[#This Row],[Key]]="","",+Info_Productos_Cuantitativo[[#This Row],[Key]])</f>
        <v>2.</v>
      </c>
      <c r="C20" s="200" t="str">
        <f>IF(+Info_Productos_Cuantitativo[[#This Row],[Producto esperado]]="","",+Info_Productos_Cuantitativo[[#This Row],[Producto esperado]])</f>
        <v xml:space="preserve">2.1.2. Agenda de trabajo colaborativa para el fortalecimiento de la economía del sector del deporte, recreación y actividad física </v>
      </c>
      <c r="D20" s="200" t="str">
        <f>IF(+Info_Productos_Cuantitativo[[#This Row],[Nombre indicador de Producto]]="","",+Info_Productos_Cuantitativo[[#This Row],[Nombre indicador de Producto]])</f>
        <v>Eventos impulsados por el Clúster del Deporte para el fortalecimiento de la economía del sector del deporte, recreación y actividad física</v>
      </c>
      <c r="E20" s="200" t="str">
        <f>IF(+Info_Productos_Cuantitativo[[#This Row],[Sector Líder]]="","",+Info_Productos_Cuantitativo[[#This Row],[Sector Líder]])</f>
        <v xml:space="preserve">Cultura, Recreación y Deporte </v>
      </c>
      <c r="F20" s="200">
        <f>IF(+Info_Productos_Cuantitativo[[#This Row],[Ponderación relativa del Producto (%)]]="","",+Info_Productos_Cuantitativo[[#This Row],[Ponderación relativa del Producto (%)]])</f>
        <v>0.05</v>
      </c>
      <c r="G20" s="200">
        <f>IF(+Info_Productos_Cuantitativo[[#This Row],[Valor Linea Base]]="","",+Info_Productos_Cuantitativo[[#This Row],[Valor Linea Base]])</f>
        <v>0</v>
      </c>
      <c r="H20" s="200" t="str">
        <f>IF(+Info_Productos_Cuantitativo[[#This Row],[Tipo de anualización]]="","",+Info_Productos_Cuantitativo[[#This Row],[Tipo de anualización]])</f>
        <v>Creciente</v>
      </c>
      <c r="I20" s="200" t="str">
        <f>IF(+Info_Productos_Cuantitativo[[#This Row],[Periodicidad de medición del indicador]]="","",+Info_Productos_Cuantitativo[[#This Row],[Periodicidad de medición del indicador]])</f>
        <v>Anual</v>
      </c>
      <c r="J20" s="201">
        <f>IF(+Info_Productos_Cuantitativo[[#This Row],[Fecha de Inicio]]="","",+Info_Productos_Cuantitativo[[#This Row],[Fecha de Inicio]])</f>
        <v>44835</v>
      </c>
      <c r="K20" s="201">
        <f>IF(+Info_Productos_Cuantitativo[[#This Row],[Fecha de Finalización]]="","",+Info_Productos_Cuantitativo[[#This Row],[Fecha de Finalización]])</f>
        <v>48579</v>
      </c>
      <c r="L20" s="202" t="str">
        <f>IF(+Info_Productos_Cuantitativo[[#This Row],[Corte del último reporte]]="","",+Info_Productos_Cuantitativo[[#This Row],[Corte del último reporte]])</f>
        <v>Q2</v>
      </c>
      <c r="M20" s="202" t="str">
        <f>IF(+Info_Productos_Cuantitativo[[#This Row],[Año del último reporte]]="","",+Info_Productos_Cuantitativo[[#This Row],[Año del último reporte]])</f>
        <v>2025</v>
      </c>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4" t="s">
        <v>420</v>
      </c>
      <c r="BA20" s="204" t="s">
        <v>421</v>
      </c>
      <c r="BB20" s="204" t="s">
        <v>422</v>
      </c>
      <c r="BC20" s="204" t="s">
        <v>413</v>
      </c>
      <c r="BD20" s="204"/>
      <c r="BE20" s="204"/>
      <c r="BF20" s="204"/>
      <c r="BG20" s="204"/>
      <c r="BH20" s="204" t="s">
        <v>423</v>
      </c>
      <c r="BI20" s="204" t="s">
        <v>413</v>
      </c>
      <c r="BJ20" s="205"/>
      <c r="BK20" s="205"/>
      <c r="BL20" s="205" t="s">
        <v>424</v>
      </c>
      <c r="BM20" s="205" t="s">
        <v>425</v>
      </c>
      <c r="BN20" s="205"/>
      <c r="BO20" s="205"/>
      <c r="BP20" s="205" t="s">
        <v>426</v>
      </c>
      <c r="BQ20" s="205" t="s">
        <v>427</v>
      </c>
      <c r="BR20" s="203"/>
      <c r="BS20" s="203"/>
      <c r="BT20" s="203"/>
      <c r="BU20" s="203"/>
      <c r="BV20"/>
      <c r="BW20" s="203"/>
      <c r="BX20" s="203"/>
      <c r="BY20" s="203"/>
      <c r="BZ20" s="204" t="s">
        <v>413</v>
      </c>
    </row>
    <row r="21" spans="1:78" ht="12.9" hidden="1" customHeight="1" x14ac:dyDescent="0.35">
      <c r="A21" s="200">
        <f>IF(+Info_Productos_Cuantitativo[[#This Row],[Producto No.]]="","",+Info_Productos_Cuantitativo[[#This Row],[Producto No.]])</f>
        <v>16</v>
      </c>
      <c r="B21" s="200" t="str">
        <f>IF(+Info_Productos_Cuantitativo[[#This Row],[Key]]="","",+Info_Productos_Cuantitativo[[#This Row],[Key]])</f>
        <v>2.</v>
      </c>
      <c r="C21" s="200" t="str">
        <f>IF(+Info_Productos_Cuantitativo[[#This Row],[Producto esperado]]="","",+Info_Productos_Cuantitativo[[#This Row],[Producto esperado]])</f>
        <v>2.2.1. Servicio Social Estudiantil en los componentes de Actividad Física, Recreación y Deporte desarrollados por el IDRD.</v>
      </c>
      <c r="D21" s="200" t="str">
        <f>IF(+Info_Productos_Cuantitativo[[#This Row],[Nombre indicador de Producto]]="","",+Info_Productos_Cuantitativo[[#This Row],[Nombre indicador de Producto]])</f>
        <v>Grupos intervenidos que desarrollan el Servicio Social Estudiantil en los componentes de Actividad Física, Recreación y Deporte</v>
      </c>
      <c r="E21" s="200" t="str">
        <f>IF(+Info_Productos_Cuantitativo[[#This Row],[Sector Líder]]="","",+Info_Productos_Cuantitativo[[#This Row],[Sector Líder]])</f>
        <v xml:space="preserve">Cultura, Recreación y Deporte </v>
      </c>
      <c r="F21" s="200">
        <f>IF(+Info_Productos_Cuantitativo[[#This Row],[Ponderación relativa del Producto (%)]]="","",+Info_Productos_Cuantitativo[[#This Row],[Ponderación relativa del Producto (%)]])</f>
        <v>0.03</v>
      </c>
      <c r="G21" s="200">
        <f>IF(+Info_Productos_Cuantitativo[[#This Row],[Valor Linea Base]]="","",+Info_Productos_Cuantitativo[[#This Row],[Valor Linea Base]])</f>
        <v>44</v>
      </c>
      <c r="H21" s="200" t="str">
        <f>IF(+Info_Productos_Cuantitativo[[#This Row],[Tipo de anualización]]="","",+Info_Productos_Cuantitativo[[#This Row],[Tipo de anualización]])</f>
        <v>Suma</v>
      </c>
      <c r="I21" s="200" t="str">
        <f>IF(+Info_Productos_Cuantitativo[[#This Row],[Periodicidad de medición del indicador]]="","",+Info_Productos_Cuantitativo[[#This Row],[Periodicidad de medición del indicador]])</f>
        <v>Trimestral</v>
      </c>
      <c r="J21" s="201">
        <f>IF(+Info_Productos_Cuantitativo[[#This Row],[Fecha de Inicio]]="","",+Info_Productos_Cuantitativo[[#This Row],[Fecha de Inicio]])</f>
        <v>44562</v>
      </c>
      <c r="K21" s="201">
        <f>IF(+Info_Productos_Cuantitativo[[#This Row],[Fecha de Finalización]]="","",+Info_Productos_Cuantitativo[[#This Row],[Fecha de Finalización]])</f>
        <v>413821</v>
      </c>
      <c r="L21" s="202" t="str">
        <f>IF(+Info_Productos_Cuantitativo[[#This Row],[Corte del último reporte]]="","",+Info_Productos_Cuantitativo[[#This Row],[Corte del último reporte]])</f>
        <v>Q2</v>
      </c>
      <c r="M21" s="202" t="str">
        <f>IF(+Info_Productos_Cuantitativo[[#This Row],[Año del último reporte]]="","",+Info_Productos_Cuantitativo[[#This Row],[Año del último reporte]])</f>
        <v>2025</v>
      </c>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4" t="s">
        <v>428</v>
      </c>
      <c r="BA21" s="204" t="s">
        <v>429</v>
      </c>
      <c r="BB21" s="204" t="s">
        <v>430</v>
      </c>
      <c r="BC21" s="204" t="s">
        <v>431</v>
      </c>
      <c r="BD21" s="204" t="s">
        <v>432</v>
      </c>
      <c r="BE21" s="204" t="s">
        <v>433</v>
      </c>
      <c r="BF21" s="204" t="s">
        <v>434</v>
      </c>
      <c r="BG21" s="204" t="s">
        <v>435</v>
      </c>
      <c r="BH21" s="204" t="s">
        <v>436</v>
      </c>
      <c r="BI21" s="204" t="s">
        <v>437</v>
      </c>
      <c r="BJ21" s="205"/>
      <c r="BK21" s="205"/>
      <c r="BL21" s="205" t="s">
        <v>438</v>
      </c>
      <c r="BM21" s="205" t="s">
        <v>439</v>
      </c>
      <c r="BN21" s="205"/>
      <c r="BO21" s="205"/>
      <c r="BP21" s="205" t="s">
        <v>440</v>
      </c>
      <c r="BQ21" s="205" t="s">
        <v>441</v>
      </c>
      <c r="BR21" s="203"/>
      <c r="BS21" s="203"/>
      <c r="BT21" s="203"/>
      <c r="BU21" s="203"/>
      <c r="BV21" t="s">
        <v>442</v>
      </c>
      <c r="BW21" s="203"/>
      <c r="BX21" s="203"/>
      <c r="BY21" s="203"/>
      <c r="BZ21" s="204" t="s">
        <v>409</v>
      </c>
    </row>
    <row r="22" spans="1:78" ht="11.1" hidden="1" customHeight="1" x14ac:dyDescent="0.35">
      <c r="A22" s="200">
        <f>IF(+Info_Productos_Cuantitativo[[#This Row],[Producto No.]]="","",+Info_Productos_Cuantitativo[[#This Row],[Producto No.]])</f>
        <v>17</v>
      </c>
      <c r="B22" s="200" t="str">
        <f>IF(+Info_Productos_Cuantitativo[[#This Row],[Key]]="","",+Info_Productos_Cuantitativo[[#This Row],[Key]])</f>
        <v>2.</v>
      </c>
      <c r="C22" s="200" t="str">
        <f>IF(+Info_Productos_Cuantitativo[[#This Row],[Producto esperado]]="","",+Info_Productos_Cuantitativo[[#This Row],[Producto esperado]])</f>
        <v>2.2.2.  Implementación de la etapa de talento y reserva  que contribuya al aumento de la base deportiva de Bogotá.</v>
      </c>
      <c r="D22" s="200" t="str">
        <f>IF(+Info_Productos_Cuantitativo[[#This Row],[Nombre indicador de Producto]]="","",+Info_Productos_Cuantitativo[[#This Row],[Nombre indicador de Producto]])</f>
        <v xml:space="preserve">Deportistas vinculados en la etapa de talento y reserva que permita la sostenibilidad deportiva de Bogotá D.C.
</v>
      </c>
      <c r="E22" s="200" t="str">
        <f>IF(+Info_Productos_Cuantitativo[[#This Row],[Sector Líder]]="","",+Info_Productos_Cuantitativo[[#This Row],[Sector Líder]])</f>
        <v xml:space="preserve">Cultura, Recreación y Deporte </v>
      </c>
      <c r="F22" s="200">
        <f>IF(+Info_Productos_Cuantitativo[[#This Row],[Ponderación relativa del Producto (%)]]="","",+Info_Productos_Cuantitativo[[#This Row],[Ponderación relativa del Producto (%)]])</f>
        <v>0.04</v>
      </c>
      <c r="G22" s="200">
        <f>IF(+Info_Productos_Cuantitativo[[#This Row],[Valor Linea Base]]="","",+Info_Productos_Cuantitativo[[#This Row],[Valor Linea Base]])</f>
        <v>1933</v>
      </c>
      <c r="H22" s="200" t="str">
        <f>IF(+Info_Productos_Cuantitativo[[#This Row],[Tipo de anualización]]="","",+Info_Productos_Cuantitativo[[#This Row],[Tipo de anualización]])</f>
        <v>Suma</v>
      </c>
      <c r="I22" s="200" t="str">
        <f>IF(+Info_Productos_Cuantitativo[[#This Row],[Periodicidad de medición del indicador]]="","",+Info_Productos_Cuantitativo[[#This Row],[Periodicidad de medición del indicador]])</f>
        <v>Trimestral</v>
      </c>
      <c r="J22" s="201">
        <f>IF(+Info_Productos_Cuantitativo[[#This Row],[Fecha de Inicio]]="","",+Info_Productos_Cuantitativo[[#This Row],[Fecha de Inicio]])</f>
        <v>44562</v>
      </c>
      <c r="K22" s="201">
        <f>IF(+Info_Productos_Cuantitativo[[#This Row],[Fecha de Finalización]]="","",+Info_Productos_Cuantitativo[[#This Row],[Fecha de Finalización]])</f>
        <v>413821</v>
      </c>
      <c r="L22" s="202" t="str">
        <f>IF(+Info_Productos_Cuantitativo[[#This Row],[Corte del último reporte]]="","",+Info_Productos_Cuantitativo[[#This Row],[Corte del último reporte]])</f>
        <v>Q2</v>
      </c>
      <c r="M22" s="202" t="str">
        <f>IF(+Info_Productos_Cuantitativo[[#This Row],[Año del último reporte]]="","",+Info_Productos_Cuantitativo[[#This Row],[Año del último reporte]])</f>
        <v>2025</v>
      </c>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4" t="s">
        <v>443</v>
      </c>
      <c r="BA22" s="204" t="s">
        <v>444</v>
      </c>
      <c r="BB22" s="204" t="s">
        <v>445</v>
      </c>
      <c r="BC22" s="204" t="s">
        <v>446</v>
      </c>
      <c r="BD22" s="204" t="s">
        <v>447</v>
      </c>
      <c r="BE22" s="204" t="s">
        <v>448</v>
      </c>
      <c r="BF22" s="204" t="s">
        <v>449</v>
      </c>
      <c r="BG22" s="204" t="s">
        <v>450</v>
      </c>
      <c r="BH22" s="204" t="s">
        <v>451</v>
      </c>
      <c r="BI22" s="204" t="s">
        <v>452</v>
      </c>
      <c r="BJ22" s="205"/>
      <c r="BK22" s="205"/>
      <c r="BL22" s="205" t="s">
        <v>453</v>
      </c>
      <c r="BM22" s="205" t="s">
        <v>454</v>
      </c>
      <c r="BN22" s="205"/>
      <c r="BO22" s="205"/>
      <c r="BP22" s="205" t="s">
        <v>455</v>
      </c>
      <c r="BQ22" s="205" t="s">
        <v>456</v>
      </c>
      <c r="BR22" s="203"/>
      <c r="BS22" s="203"/>
      <c r="BT22" s="203"/>
      <c r="BU22" s="203"/>
      <c r="BV22"/>
      <c r="BW22" s="203"/>
      <c r="BX22" s="203"/>
      <c r="BY22" s="203"/>
      <c r="BZ22" s="204" t="s">
        <v>457</v>
      </c>
    </row>
    <row r="23" spans="1:78" ht="409.6" hidden="1" x14ac:dyDescent="0.35">
      <c r="A23" s="200">
        <f>IF(+Info_Productos_Cuantitativo[[#This Row],[Producto No.]]="","",+Info_Productos_Cuantitativo[[#This Row],[Producto No.]])</f>
        <v>18</v>
      </c>
      <c r="B23" s="200" t="str">
        <f>IF(+Info_Productos_Cuantitativo[[#This Row],[Key]]="","",+Info_Productos_Cuantitativo[[#This Row],[Key]])</f>
        <v>2.</v>
      </c>
      <c r="C23" s="200" t="str">
        <f>IF(+Info_Productos_Cuantitativo[[#This Row],[Producto esperado]]="","",+Info_Productos_Cuantitativo[[#This Row],[Producto esperado]])</f>
        <v xml:space="preserve">2.2.3. Articulaciones con el sector académico que permitan el intercambio de conocimientos y el desarrollo conjunto de procesos de formación y gestión del conocimiento en torno a la Actividad Física, la Recreación y el Deporte. </v>
      </c>
      <c r="D23" s="200" t="str">
        <f>IF(+Info_Productos_Cuantitativo[[#This Row],[Nombre indicador de Producto]]="","",+Info_Productos_Cuantitativo[[#This Row],[Nombre indicador de Producto]])</f>
        <v>Articulaciones con el sector académico que permitan el intercambio de conocimientos y el desarrollo conjunto de procesos de formación y gestión del conocimiento en torno a la Actividad Física, la Recreación y el Deporte.</v>
      </c>
      <c r="E23" s="200" t="str">
        <f>IF(+Info_Productos_Cuantitativo[[#This Row],[Sector Líder]]="","",+Info_Productos_Cuantitativo[[#This Row],[Sector Líder]])</f>
        <v xml:space="preserve">Cultura, Recreación y Deporte </v>
      </c>
      <c r="F23" s="200">
        <f>IF(+Info_Productos_Cuantitativo[[#This Row],[Ponderación relativa del Producto (%)]]="","",+Info_Productos_Cuantitativo[[#This Row],[Ponderación relativa del Producto (%)]])</f>
        <v>0.03</v>
      </c>
      <c r="G23" s="200">
        <f>IF(+Info_Productos_Cuantitativo[[#This Row],[Valor Linea Base]]="","",+Info_Productos_Cuantitativo[[#This Row],[Valor Linea Base]])</f>
        <v>37</v>
      </c>
      <c r="H23" s="200" t="str">
        <f>IF(+Info_Productos_Cuantitativo[[#This Row],[Tipo de anualización]]="","",+Info_Productos_Cuantitativo[[#This Row],[Tipo de anualización]])</f>
        <v>Suma</v>
      </c>
      <c r="I23" s="200" t="str">
        <f>IF(+Info_Productos_Cuantitativo[[#This Row],[Periodicidad de medición del indicador]]="","",+Info_Productos_Cuantitativo[[#This Row],[Periodicidad de medición del indicador]])</f>
        <v>Trimestral</v>
      </c>
      <c r="J23" s="201">
        <f>IF(+Info_Productos_Cuantitativo[[#This Row],[Fecha de Inicio]]="","",+Info_Productos_Cuantitativo[[#This Row],[Fecha de Inicio]])</f>
        <v>44927</v>
      </c>
      <c r="K23" s="201">
        <f>IF(+Info_Productos_Cuantitativo[[#This Row],[Fecha de Finalización]]="","",+Info_Productos_Cuantitativo[[#This Row],[Fecha de Finalización]])</f>
        <v>48579</v>
      </c>
      <c r="L23" s="202" t="str">
        <f>IF(+Info_Productos_Cuantitativo[[#This Row],[Corte del último reporte]]="","",+Info_Productos_Cuantitativo[[#This Row],[Corte del último reporte]])</f>
        <v>Q2</v>
      </c>
      <c r="M23" s="202" t="str">
        <f>IF(+Info_Productos_Cuantitativo[[#This Row],[Año del último reporte]]="","",+Info_Productos_Cuantitativo[[#This Row],[Año del último reporte]])</f>
        <v>2025</v>
      </c>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4"/>
      <c r="BA23" s="204"/>
      <c r="BB23" s="204" t="s">
        <v>458</v>
      </c>
      <c r="BC23" s="204" t="s">
        <v>459</v>
      </c>
      <c r="BD23" s="204" t="s">
        <v>460</v>
      </c>
      <c r="BE23" s="204" t="s">
        <v>461</v>
      </c>
      <c r="BF23" s="204" t="s">
        <v>462</v>
      </c>
      <c r="BG23" s="204" t="s">
        <v>463</v>
      </c>
      <c r="BH23" s="215" t="s">
        <v>464</v>
      </c>
      <c r="BI23" s="204" t="s">
        <v>465</v>
      </c>
      <c r="BJ23" s="205"/>
      <c r="BK23" s="205"/>
      <c r="BL23" s="205" t="s">
        <v>466</v>
      </c>
      <c r="BM23" s="205" t="s">
        <v>467</v>
      </c>
      <c r="BN23" s="205"/>
      <c r="BO23" s="205"/>
      <c r="BP23" s="205" t="s">
        <v>468</v>
      </c>
      <c r="BQ23" s="205" t="s">
        <v>469</v>
      </c>
      <c r="BR23" s="203"/>
      <c r="BS23" s="203"/>
      <c r="BT23" s="203"/>
      <c r="BU23" s="203"/>
      <c r="BV23" t="s">
        <v>470</v>
      </c>
      <c r="BW23" s="203"/>
      <c r="BX23" s="203"/>
      <c r="BY23" s="203"/>
      <c r="BZ23" s="204" t="s">
        <v>409</v>
      </c>
    </row>
    <row r="24" spans="1:78" ht="409.6" hidden="1" x14ac:dyDescent="0.35">
      <c r="A24" s="200">
        <f>IF(+Info_Productos_Cuantitativo[[#This Row],[Producto No.]]="","",+Info_Productos_Cuantitativo[[#This Row],[Producto No.]])</f>
        <v>19</v>
      </c>
      <c r="B24" s="200" t="str">
        <f>IF(+Info_Productos_Cuantitativo[[#This Row],[Key]]="","",+Info_Productos_Cuantitativo[[#This Row],[Key]])</f>
        <v>3.</v>
      </c>
      <c r="C24" s="200" t="str">
        <f>IF(+Info_Productos_Cuantitativo[[#This Row],[Producto esperado]]="","",+Info_Productos_Cuantitativo[[#This Row],[Producto esperado]])</f>
        <v>3.1.1. Investigaciones asociadas a la práctica deportiva cuyos resultados aporten a la formación integral de niños, niñas, adolescentes y jóvenes</v>
      </c>
      <c r="D24" s="200" t="str">
        <f>IF(+Info_Productos_Cuantitativo[[#This Row],[Nombre indicador de Producto]]="","",+Info_Productos_Cuantitativo[[#This Row],[Nombre indicador de Producto]])</f>
        <v>Investigaciones  motivacionales  y Cartografía de riesgo psicosocial realizadas en el marco de la Jornada Extraescolar</v>
      </c>
      <c r="E24" s="200" t="str">
        <f>IF(+Info_Productos_Cuantitativo[[#This Row],[Sector Líder]]="","",+Info_Productos_Cuantitativo[[#This Row],[Sector Líder]])</f>
        <v xml:space="preserve">Cultura, Recreación y Deporte </v>
      </c>
      <c r="F24" s="200">
        <f>IF(+Info_Productos_Cuantitativo[[#This Row],[Ponderación relativa del Producto (%)]]="","",+Info_Productos_Cuantitativo[[#This Row],[Ponderación relativa del Producto (%)]])</f>
        <v>0.05</v>
      </c>
      <c r="G24" s="200" t="str">
        <f>IF(+Info_Productos_Cuantitativo[[#This Row],[Valor Linea Base]]="","",+Info_Productos_Cuantitativo[[#This Row],[Valor Linea Base]])</f>
        <v/>
      </c>
      <c r="H24" s="200" t="str">
        <f>IF(+Info_Productos_Cuantitativo[[#This Row],[Tipo de anualización]]="","",+Info_Productos_Cuantitativo[[#This Row],[Tipo de anualización]])</f>
        <v>Suma</v>
      </c>
      <c r="I24" s="200" t="str">
        <f>IF(+Info_Productos_Cuantitativo[[#This Row],[Periodicidad de medición del indicador]]="","",+Info_Productos_Cuantitativo[[#This Row],[Periodicidad de medición del indicador]])</f>
        <v>Anual</v>
      </c>
      <c r="J24" s="201">
        <f>IF(+Info_Productos_Cuantitativo[[#This Row],[Fecha de Inicio]]="","",+Info_Productos_Cuantitativo[[#This Row],[Fecha de Inicio]])</f>
        <v>44927</v>
      </c>
      <c r="K24" s="201">
        <f>IF(+Info_Productos_Cuantitativo[[#This Row],[Fecha de Finalización]]="","",+Info_Productos_Cuantitativo[[#This Row],[Fecha de Finalización]])</f>
        <v>48579</v>
      </c>
      <c r="L24" s="202" t="str">
        <f>IF(+Info_Productos_Cuantitativo[[#This Row],[Corte del último reporte]]="","",+Info_Productos_Cuantitativo[[#This Row],[Corte del último reporte]])</f>
        <v>Q2</v>
      </c>
      <c r="M24" s="202" t="str">
        <f>IF(+Info_Productos_Cuantitativo[[#This Row],[Año del último reporte]]="","",+Info_Productos_Cuantitativo[[#This Row],[Año del último reporte]])</f>
        <v>2025</v>
      </c>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4"/>
      <c r="BA24" s="204"/>
      <c r="BB24" s="204" t="s">
        <v>471</v>
      </c>
      <c r="BC24" s="204" t="s">
        <v>472</v>
      </c>
      <c r="BD24" s="204"/>
      <c r="BE24" s="204"/>
      <c r="BF24" s="204" t="s">
        <v>473</v>
      </c>
      <c r="BG24" s="204" t="s">
        <v>474</v>
      </c>
      <c r="BH24" s="204" t="s">
        <v>475</v>
      </c>
      <c r="BI24" s="204" t="s">
        <v>476</v>
      </c>
      <c r="BJ24" s="205"/>
      <c r="BK24" s="205"/>
      <c r="BL24" s="205" t="s">
        <v>275</v>
      </c>
      <c r="BM24" s="205" t="s">
        <v>275</v>
      </c>
      <c r="BN24" s="205"/>
      <c r="BO24" s="205"/>
      <c r="BP24" s="205" t="s">
        <v>417</v>
      </c>
      <c r="BQ24" s="205" t="s">
        <v>416</v>
      </c>
      <c r="BR24" s="203"/>
      <c r="BS24" s="203"/>
      <c r="BT24" s="203"/>
      <c r="BU24" s="203"/>
      <c r="BV24"/>
      <c r="BW24" s="203"/>
      <c r="BX24" s="203"/>
      <c r="BY24" s="203"/>
      <c r="BZ24" s="204" t="s">
        <v>409</v>
      </c>
    </row>
    <row r="25" spans="1:78" ht="53.1" hidden="1" customHeight="1" x14ac:dyDescent="0.35">
      <c r="A25" s="200">
        <f>IF(+Info_Productos_Cuantitativo[[#This Row],[Producto No.]]="","",+Info_Productos_Cuantitativo[[#This Row],[Producto No.]])</f>
        <v>20</v>
      </c>
      <c r="B25" s="200" t="str">
        <f>IF(+Info_Productos_Cuantitativo[[#This Row],[Key]]="","",+Info_Productos_Cuantitativo[[#This Row],[Key]])</f>
        <v>3.</v>
      </c>
      <c r="C25" s="200" t="str">
        <f>IF(+Info_Productos_Cuantitativo[[#This Row],[Producto esperado]]="","",+Info_Productos_Cuantitativo[[#This Row],[Producto esperado]])</f>
        <v>3.1.2. Jornada de Intensificación de la Actividad Física desarrollada.</v>
      </c>
      <c r="D25" s="200" t="str">
        <f>IF(+Info_Productos_Cuantitativo[[#This Row],[Nombre indicador de Producto]]="","",+Info_Productos_Cuantitativo[[#This Row],[Nombre indicador de Producto]])</f>
        <v xml:space="preserve">Entornos que participan en la Jornada Distrital  de Actividad Física </v>
      </c>
      <c r="E25" s="200" t="str">
        <f>IF(+Info_Productos_Cuantitativo[[#This Row],[Sector Líder]]="","",+Info_Productos_Cuantitativo[[#This Row],[Sector Líder]])</f>
        <v>Salud</v>
      </c>
      <c r="F25" s="200">
        <f>IF(+Info_Productos_Cuantitativo[[#This Row],[Ponderación relativa del Producto (%)]]="","",+Info_Productos_Cuantitativo[[#This Row],[Ponderación relativa del Producto (%)]])</f>
        <v>0.05</v>
      </c>
      <c r="G25" s="200">
        <f>IF(+Info_Productos_Cuantitativo[[#This Row],[Valor Linea Base]]="","",+Info_Productos_Cuantitativo[[#This Row],[Valor Linea Base]])</f>
        <v>1</v>
      </c>
      <c r="H25" s="200" t="str">
        <f>IF(+Info_Productos_Cuantitativo[[#This Row],[Tipo de anualización]]="","",+Info_Productos_Cuantitativo[[#This Row],[Tipo de anualización]])</f>
        <v>Constante</v>
      </c>
      <c r="I25" s="200" t="str">
        <f>IF(+Info_Productos_Cuantitativo[[#This Row],[Periodicidad de medición del indicador]]="","",+Info_Productos_Cuantitativo[[#This Row],[Periodicidad de medición del indicador]])</f>
        <v>Anual</v>
      </c>
      <c r="J25" s="201">
        <f>IF(+Info_Productos_Cuantitativo[[#This Row],[Fecha de Inicio]]="","",+Info_Productos_Cuantitativo[[#This Row],[Fecha de Inicio]])</f>
        <v>44927</v>
      </c>
      <c r="K25" s="201">
        <f>IF(+Info_Productos_Cuantitativo[[#This Row],[Fecha de Finalización]]="","",+Info_Productos_Cuantitativo[[#This Row],[Fecha de Finalización]])</f>
        <v>48579</v>
      </c>
      <c r="L25" s="202" t="str">
        <f>IF(+Info_Productos_Cuantitativo[[#This Row],[Corte del último reporte]]="","",+Info_Productos_Cuantitativo[[#This Row],[Corte del último reporte]])</f>
        <v>Q2</v>
      </c>
      <c r="M25" s="202" t="str">
        <f>IF(+Info_Productos_Cuantitativo[[#This Row],[Año del último reporte]]="","",+Info_Productos_Cuantitativo[[#This Row],[Año del último reporte]])</f>
        <v>2025</v>
      </c>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4" t="s">
        <v>477</v>
      </c>
      <c r="BA25" s="204" t="s">
        <v>478</v>
      </c>
      <c r="BB25" s="204" t="s">
        <v>479</v>
      </c>
      <c r="BC25" s="204" t="s">
        <v>480</v>
      </c>
      <c r="BD25" s="204"/>
      <c r="BE25" s="204"/>
      <c r="BF25" s="204" t="s">
        <v>481</v>
      </c>
      <c r="BG25" s="204" t="s">
        <v>416</v>
      </c>
      <c r="BH25" s="204" t="s">
        <v>482</v>
      </c>
      <c r="BI25" s="204" t="s">
        <v>416</v>
      </c>
      <c r="BJ25" s="205"/>
      <c r="BK25" s="205"/>
      <c r="BL25" s="205" t="s">
        <v>483</v>
      </c>
      <c r="BM25" s="205" t="s">
        <v>484</v>
      </c>
      <c r="BN25" s="205"/>
      <c r="BO25" s="205"/>
      <c r="BP25" s="205" t="s">
        <v>485</v>
      </c>
      <c r="BQ25" s="205" t="s">
        <v>486</v>
      </c>
      <c r="BR25" s="203"/>
      <c r="BS25" s="203"/>
      <c r="BT25" s="203"/>
      <c r="BU25" s="203"/>
      <c r="BV25" t="s">
        <v>487</v>
      </c>
      <c r="BW25" s="203"/>
      <c r="BX25" s="203"/>
      <c r="BY25" s="203"/>
      <c r="BZ25" s="204" t="s">
        <v>409</v>
      </c>
    </row>
    <row r="26" spans="1:78" ht="409.6" hidden="1" x14ac:dyDescent="0.35">
      <c r="A26" s="200">
        <f>IF(+Info_Productos_Cuantitativo[[#This Row],[Producto No.]]="","",+Info_Productos_Cuantitativo[[#This Row],[Producto No.]])</f>
        <v>21</v>
      </c>
      <c r="B26" s="200" t="str">
        <f>IF(+Info_Productos_Cuantitativo[[#This Row],[Key]]="","",+Info_Productos_Cuantitativo[[#This Row],[Key]])</f>
        <v>3.</v>
      </c>
      <c r="C26" s="200" t="str">
        <f>IF(+Info_Productos_Cuantitativo[[#This Row],[Producto esperado]]="","",+Info_Productos_Cuantitativo[[#This Row],[Producto esperado]])</f>
        <v>3.1.3. Oferta de actividades en la Biblioteca Pública del Deporte y la Actividad Física, para la promoción de hábitos saludables y beneficios del deporte, a través de las practicas de lectura, escritura y oralidad.</v>
      </c>
      <c r="D26" s="200" t="str">
        <f>IF(+Info_Productos_Cuantitativo[[#This Row],[Nombre indicador de Producto]]="","",+Info_Productos_Cuantitativo[[#This Row],[Nombre indicador de Producto]])</f>
        <v>Actividades ofertadas en la Biblioteca Pública del Deporte y la Actividad Física, para la promoción de hábitos saludables y beneficios del deporte y la actividad física, a través de las practicas de lectura, escritura y oralidad.</v>
      </c>
      <c r="E26" s="200" t="str">
        <f>IF(+Info_Productos_Cuantitativo[[#This Row],[Sector Líder]]="","",+Info_Productos_Cuantitativo[[#This Row],[Sector Líder]])</f>
        <v xml:space="preserve">Cultura, Recreación y Deporte </v>
      </c>
      <c r="F26" s="200">
        <f>IF(+Info_Productos_Cuantitativo[[#This Row],[Ponderación relativa del Producto (%)]]="","",+Info_Productos_Cuantitativo[[#This Row],[Ponderación relativa del Producto (%)]])</f>
        <v>0.05</v>
      </c>
      <c r="G26" s="200">
        <f>IF(+Info_Productos_Cuantitativo[[#This Row],[Valor Linea Base]]="","",+Info_Productos_Cuantitativo[[#This Row],[Valor Linea Base]])</f>
        <v>10</v>
      </c>
      <c r="H26" s="200" t="str">
        <f>IF(+Info_Productos_Cuantitativo[[#This Row],[Tipo de anualización]]="","",+Info_Productos_Cuantitativo[[#This Row],[Tipo de anualización]])</f>
        <v>Suma</v>
      </c>
      <c r="I26" s="200" t="str">
        <f>IF(+Info_Productos_Cuantitativo[[#This Row],[Periodicidad de medición del indicador]]="","",+Info_Productos_Cuantitativo[[#This Row],[Periodicidad de medición del indicador]])</f>
        <v>Anual</v>
      </c>
      <c r="J26" s="201">
        <f>IF(+Info_Productos_Cuantitativo[[#This Row],[Fecha de Inicio]]="","",+Info_Productos_Cuantitativo[[#This Row],[Fecha de Inicio]])</f>
        <v>44577</v>
      </c>
      <c r="K26" s="201">
        <f>IF(+Info_Productos_Cuantitativo[[#This Row],[Fecha de Finalización]]="","",+Info_Productos_Cuantitativo[[#This Row],[Fecha de Finalización]])</f>
        <v>46022</v>
      </c>
      <c r="L26" s="202" t="str">
        <f>IF(+Info_Productos_Cuantitativo[[#This Row],[Corte del último reporte]]="","",+Info_Productos_Cuantitativo[[#This Row],[Corte del último reporte]])</f>
        <v>Q2</v>
      </c>
      <c r="M26" s="202" t="str">
        <f>IF(+Info_Productos_Cuantitativo[[#This Row],[Año del último reporte]]="","",+Info_Productos_Cuantitativo[[#This Row],[Año del último reporte]])</f>
        <v>2025</v>
      </c>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03"/>
      <c r="AV26" s="203"/>
      <c r="AW26" s="203"/>
      <c r="AX26" s="203"/>
      <c r="AY26" s="203"/>
      <c r="AZ26" s="204" t="s">
        <v>488</v>
      </c>
      <c r="BA26" s="204" t="s">
        <v>489</v>
      </c>
      <c r="BB26" s="204" t="s">
        <v>490</v>
      </c>
      <c r="BC26" s="204" t="s">
        <v>491</v>
      </c>
      <c r="BD26" s="204"/>
      <c r="BE26" s="204"/>
      <c r="BF26" s="204"/>
      <c r="BG26" s="204"/>
      <c r="BH26" s="204"/>
      <c r="BI26" s="204"/>
      <c r="BJ26" s="205"/>
      <c r="BK26" s="205"/>
      <c r="BL26" s="205" t="s">
        <v>492</v>
      </c>
      <c r="BM26" s="205" t="s">
        <v>493</v>
      </c>
      <c r="BN26" s="205"/>
      <c r="BO26" s="205"/>
      <c r="BP26" s="205" t="s">
        <v>494</v>
      </c>
      <c r="BQ26" s="205" t="s">
        <v>495</v>
      </c>
      <c r="BR26" s="203"/>
      <c r="BS26" s="203"/>
      <c r="BT26" s="203"/>
      <c r="BU26" s="203"/>
      <c r="BV26"/>
      <c r="BW26" s="203"/>
      <c r="BX26" s="203"/>
      <c r="BY26" s="203"/>
      <c r="BZ26" s="204" t="s">
        <v>306</v>
      </c>
    </row>
    <row r="27" spans="1:78" ht="409.6" hidden="1" x14ac:dyDescent="0.35">
      <c r="A27" s="200">
        <f>IF(+Info_Productos_Cuantitativo[[#This Row],[Producto No.]]="","",+Info_Productos_Cuantitativo[[#This Row],[Producto No.]])</f>
        <v>22</v>
      </c>
      <c r="B27" s="200" t="str">
        <f>IF(+Info_Productos_Cuantitativo[[#This Row],[Key]]="","",+Info_Productos_Cuantitativo[[#This Row],[Key]])</f>
        <v>4.</v>
      </c>
      <c r="C27" s="200" t="str">
        <f>IF(+Info_Productos_Cuantitativo[[#This Row],[Producto esperado]]="","",+Info_Productos_Cuantitativo[[#This Row],[Producto esperado]])</f>
        <v>4.1.1. Promoción y divulgación de campañas que incentiven la participación y la práctica deportiva.</v>
      </c>
      <c r="D27" s="200" t="str">
        <f>IF(+Info_Productos_Cuantitativo[[#This Row],[Nombre indicador de Producto]]="","",+Info_Productos_Cuantitativo[[#This Row],[Nombre indicador de Producto]])</f>
        <v xml:space="preserve">Programas y/o eventos deportivos  transmitidos en Canal Capital. </v>
      </c>
      <c r="E27" s="200" t="str">
        <f>IF(+Info_Productos_Cuantitativo[[#This Row],[Sector Líder]]="","",+Info_Productos_Cuantitativo[[#This Row],[Sector Líder]])</f>
        <v xml:space="preserve">Cultura, Recreación y Deporte </v>
      </c>
      <c r="F27" s="200">
        <f>IF(+Info_Productos_Cuantitativo[[#This Row],[Ponderación relativa del Producto (%)]]="","",+Info_Productos_Cuantitativo[[#This Row],[Ponderación relativa del Producto (%)]])</f>
        <v>0.05</v>
      </c>
      <c r="G27" s="200" t="str">
        <f>IF(+Info_Productos_Cuantitativo[[#This Row],[Valor Linea Base]]="","",+Info_Productos_Cuantitativo[[#This Row],[Valor Linea Base]])</f>
        <v/>
      </c>
      <c r="H27" s="200" t="str">
        <f>IF(+Info_Productos_Cuantitativo[[#This Row],[Tipo de anualización]]="","",+Info_Productos_Cuantitativo[[#This Row],[Tipo de anualización]])</f>
        <v>Suma</v>
      </c>
      <c r="I27" s="200" t="str">
        <f>IF(+Info_Productos_Cuantitativo[[#This Row],[Periodicidad de medición del indicador]]="","",+Info_Productos_Cuantitativo[[#This Row],[Periodicidad de medición del indicador]])</f>
        <v>Semestral</v>
      </c>
      <c r="J27" s="201">
        <f>IF(+Info_Productos_Cuantitativo[[#This Row],[Fecha de Inicio]]="","",+Info_Productos_Cuantitativo[[#This Row],[Fecha de Inicio]])</f>
        <v>44866</v>
      </c>
      <c r="K27" s="201">
        <f>IF(+Info_Productos_Cuantitativo[[#This Row],[Fecha de Finalización]]="","",+Info_Productos_Cuantitativo[[#This Row],[Fecha de Finalización]])</f>
        <v>46022</v>
      </c>
      <c r="L27" s="202" t="str">
        <f>IF(+Info_Productos_Cuantitativo[[#This Row],[Corte del último reporte]]="","",+Info_Productos_Cuantitativo[[#This Row],[Corte del último reporte]])</f>
        <v>Q2</v>
      </c>
      <c r="M27" s="202" t="str">
        <f>IF(+Info_Productos_Cuantitativo[[#This Row],[Año del último reporte]]="","",+Info_Productos_Cuantitativo[[#This Row],[Año del último reporte]])</f>
        <v>2025</v>
      </c>
      <c r="N27" s="203"/>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3"/>
      <c r="AN27" s="203"/>
      <c r="AO27" s="203"/>
      <c r="AP27" s="203"/>
      <c r="AQ27" s="203"/>
      <c r="AR27" s="203"/>
      <c r="AS27" s="203"/>
      <c r="AT27" s="203"/>
      <c r="AU27" s="203"/>
      <c r="AV27" s="203"/>
      <c r="AW27" s="203"/>
      <c r="AX27" s="203"/>
      <c r="AY27" s="203"/>
      <c r="AZ27" s="204"/>
      <c r="BA27" s="204"/>
      <c r="BB27" s="204" t="s">
        <v>496</v>
      </c>
      <c r="BC27" s="204" t="s">
        <v>497</v>
      </c>
      <c r="BD27" s="204" t="s">
        <v>498</v>
      </c>
      <c r="BE27" s="204" t="s">
        <v>499</v>
      </c>
      <c r="BF27" s="204"/>
      <c r="BG27" s="204"/>
      <c r="BH27" s="204" t="s">
        <v>500</v>
      </c>
      <c r="BI27" s="204" t="s">
        <v>501</v>
      </c>
      <c r="BJ27" s="205"/>
      <c r="BK27" s="205"/>
      <c r="BL27" s="205" t="s">
        <v>502</v>
      </c>
      <c r="BM27" s="205" t="s">
        <v>503</v>
      </c>
      <c r="BN27" s="205"/>
      <c r="BO27" s="205"/>
      <c r="BP27" s="205" t="s">
        <v>504</v>
      </c>
      <c r="BQ27" s="205" t="s">
        <v>505</v>
      </c>
      <c r="BR27" s="203"/>
      <c r="BS27" s="203"/>
      <c r="BT27" s="203"/>
      <c r="BU27" s="203"/>
      <c r="BV27" t="s">
        <v>506</v>
      </c>
      <c r="BW27" s="203"/>
      <c r="BX27" s="203"/>
      <c r="BY27" s="203"/>
      <c r="BZ27" s="204" t="s">
        <v>306</v>
      </c>
    </row>
    <row r="28" spans="1:78" ht="409.6" hidden="1" x14ac:dyDescent="0.35">
      <c r="A28" s="200">
        <f>IF(+Info_Productos_Cuantitativo[[#This Row],[Producto No.]]="","",+Info_Productos_Cuantitativo[[#This Row],[Producto No.]])</f>
        <v>23</v>
      </c>
      <c r="B28" s="200" t="str">
        <f>IF(+Info_Productos_Cuantitativo[[#This Row],[Key]]="","",+Info_Productos_Cuantitativo[[#This Row],[Key]])</f>
        <v>4.</v>
      </c>
      <c r="C28" s="200" t="str">
        <f>IF(+Info_Productos_Cuantitativo[[#This Row],[Producto esperado]]="","",+Info_Productos_Cuantitativo[[#This Row],[Producto esperado]])</f>
        <v xml:space="preserve">4.1.2. Divulgaciòn de actividades deportivas, recreativas, actividad fìsica, parques y escenarios </v>
      </c>
      <c r="D28" s="200" t="str">
        <f>IF(+Info_Productos_Cuantitativo[[#This Row],[Nombre indicador de Producto]]="","",+Info_Productos_Cuantitativo[[#This Row],[Nombre indicador de Producto]])</f>
        <v>Estrategias de divulgaciòn implementadas</v>
      </c>
      <c r="E28" s="200" t="str">
        <f>IF(+Info_Productos_Cuantitativo[[#This Row],[Sector Líder]]="","",+Info_Productos_Cuantitativo[[#This Row],[Sector Líder]])</f>
        <v xml:space="preserve">Cultura, Recreación y Deporte </v>
      </c>
      <c r="F28" s="200">
        <f>IF(+Info_Productos_Cuantitativo[[#This Row],[Ponderación relativa del Producto (%)]]="","",+Info_Productos_Cuantitativo[[#This Row],[Ponderación relativa del Producto (%)]])</f>
        <v>0.05</v>
      </c>
      <c r="G28" s="200" t="str">
        <f>IF(+Info_Productos_Cuantitativo[[#This Row],[Valor Linea Base]]="","",+Info_Productos_Cuantitativo[[#This Row],[Valor Linea Base]])</f>
        <v/>
      </c>
      <c r="H28" s="200" t="str">
        <f>IF(+Info_Productos_Cuantitativo[[#This Row],[Tipo de anualización]]="","",+Info_Productos_Cuantitativo[[#This Row],[Tipo de anualización]])</f>
        <v>Suma</v>
      </c>
      <c r="I28" s="200" t="str">
        <f>IF(+Info_Productos_Cuantitativo[[#This Row],[Periodicidad de medición del indicador]]="","",+Info_Productos_Cuantitativo[[#This Row],[Periodicidad de medición del indicador]])</f>
        <v>Anual</v>
      </c>
      <c r="J28" s="201">
        <f>IF(+Info_Productos_Cuantitativo[[#This Row],[Fecha de Inicio]]="","",+Info_Productos_Cuantitativo[[#This Row],[Fecha de Inicio]])</f>
        <v>45078</v>
      </c>
      <c r="K28" s="201">
        <f>IF(+Info_Productos_Cuantitativo[[#This Row],[Fecha de Finalización]]="","",+Info_Productos_Cuantitativo[[#This Row],[Fecha de Finalización]])</f>
        <v>48579</v>
      </c>
      <c r="L28" s="202" t="str">
        <f>IF(+Info_Productos_Cuantitativo[[#This Row],[Corte del último reporte]]="","",+Info_Productos_Cuantitativo[[#This Row],[Corte del último reporte]])</f>
        <v>Q2</v>
      </c>
      <c r="M28" s="202" t="str">
        <f>IF(+Info_Productos_Cuantitativo[[#This Row],[Año del último reporte]]="","",+Info_Productos_Cuantitativo[[#This Row],[Año del último reporte]])</f>
        <v>2025</v>
      </c>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3"/>
      <c r="AY28" s="203"/>
      <c r="AZ28" s="204"/>
      <c r="BA28" s="204"/>
      <c r="BB28" s="204"/>
      <c r="BC28" s="204"/>
      <c r="BD28" s="204"/>
      <c r="BE28" s="204"/>
      <c r="BF28" s="204"/>
      <c r="BG28" s="204"/>
      <c r="BH28" s="204"/>
      <c r="BI28" s="204"/>
      <c r="BJ28" s="205"/>
      <c r="BK28" s="205"/>
      <c r="BL28" s="205" t="s">
        <v>507</v>
      </c>
      <c r="BM28" s="205" t="s">
        <v>508</v>
      </c>
      <c r="BN28" s="205"/>
      <c r="BO28" s="205"/>
      <c r="BP28" s="208" t="s">
        <v>509</v>
      </c>
      <c r="BQ28" s="205" t="s">
        <v>508</v>
      </c>
      <c r="BR28" s="203"/>
      <c r="BS28" s="203"/>
      <c r="BT28" s="203"/>
      <c r="BU28" s="203"/>
      <c r="BV28"/>
      <c r="BW28" s="203"/>
      <c r="BX28" s="203"/>
      <c r="BY28" s="203"/>
      <c r="BZ28" s="204" t="s">
        <v>286</v>
      </c>
    </row>
    <row r="29" spans="1:78" ht="409.6" hidden="1" x14ac:dyDescent="0.35">
      <c r="A29" s="200">
        <f>IF(+Info_Productos_Cuantitativo[[#This Row],[Producto No.]]="","",+Info_Productos_Cuantitativo[[#This Row],[Producto No.]])</f>
        <v>24</v>
      </c>
      <c r="B29" s="200" t="str">
        <f>IF(+Info_Productos_Cuantitativo[[#This Row],[Key]]="","",+Info_Productos_Cuantitativo[[#This Row],[Key]])</f>
        <v>4.</v>
      </c>
      <c r="C29" s="200" t="str">
        <f>IF(+Info_Productos_Cuantitativo[[#This Row],[Producto esperado]]="","",+Info_Productos_Cuantitativo[[#This Row],[Producto esperado]])</f>
        <v>4.1.3. Mecanismo para la difusión de la oferta de las localidades relacionada con programas deportivos, recreativos y de actividad física implementados para las diferentes poblaciones, en los espacios priorizados.</v>
      </c>
      <c r="D29" s="200" t="str">
        <f>IF(+Info_Productos_Cuantitativo[[#This Row],[Nombre indicador de Producto]]="","",+Info_Productos_Cuantitativo[[#This Row],[Nombre indicador de Producto]])</f>
        <v xml:space="preserve">Porcentaje de localidades con oferta publicada en el mecanismo </v>
      </c>
      <c r="E29" s="200" t="str">
        <f>IF(+Info_Productos_Cuantitativo[[#This Row],[Sector Líder]]="","",+Info_Productos_Cuantitativo[[#This Row],[Sector Líder]])</f>
        <v>Gobierno</v>
      </c>
      <c r="F29" s="200">
        <f>IF(+Info_Productos_Cuantitativo[[#This Row],[Ponderación relativa del Producto (%)]]="","",+Info_Productos_Cuantitativo[[#This Row],[Ponderación relativa del Producto (%)]])</f>
        <v>0.03</v>
      </c>
      <c r="G29" s="200" t="str">
        <f>IF(+Info_Productos_Cuantitativo[[#This Row],[Valor Linea Base]]="","",+Info_Productos_Cuantitativo[[#This Row],[Valor Linea Base]])</f>
        <v/>
      </c>
      <c r="H29" s="200" t="str">
        <f>IF(+Info_Productos_Cuantitativo[[#This Row],[Tipo de anualización]]="","",+Info_Productos_Cuantitativo[[#This Row],[Tipo de anualización]])</f>
        <v>Constante</v>
      </c>
      <c r="I29" s="200" t="str">
        <f>IF(+Info_Productos_Cuantitativo[[#This Row],[Periodicidad de medición del indicador]]="","",+Info_Productos_Cuantitativo[[#This Row],[Periodicidad de medición del indicador]])</f>
        <v>Trimestral</v>
      </c>
      <c r="J29" s="201">
        <f>IF(+Info_Productos_Cuantitativo[[#This Row],[Fecha de Inicio]]="","",+Info_Productos_Cuantitativo[[#This Row],[Fecha de Inicio]])</f>
        <v>44927</v>
      </c>
      <c r="K29" s="201">
        <f>IF(+Info_Productos_Cuantitativo[[#This Row],[Fecha de Finalización]]="","",+Info_Productos_Cuantitativo[[#This Row],[Fecha de Finalización]])</f>
        <v>48579</v>
      </c>
      <c r="L29" s="202" t="str">
        <f>IF(+Info_Productos_Cuantitativo[[#This Row],[Corte del último reporte]]="","",+Info_Productos_Cuantitativo[[#This Row],[Corte del último reporte]])</f>
        <v>Q2</v>
      </c>
      <c r="M29" s="202" t="str">
        <f>IF(+Info_Productos_Cuantitativo[[#This Row],[Año del último reporte]]="","",+Info_Productos_Cuantitativo[[#This Row],[Año del último reporte]])</f>
        <v>2025</v>
      </c>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3"/>
      <c r="AY29" s="203"/>
      <c r="AZ29" s="204" t="s">
        <v>510</v>
      </c>
      <c r="BA29" s="204" t="s">
        <v>511</v>
      </c>
      <c r="BB29" s="204" t="s">
        <v>512</v>
      </c>
      <c r="BC29" s="204" t="s">
        <v>513</v>
      </c>
      <c r="BD29" s="204" t="s">
        <v>514</v>
      </c>
      <c r="BE29" s="204" t="s">
        <v>515</v>
      </c>
      <c r="BF29" s="206" t="s">
        <v>516</v>
      </c>
      <c r="BG29" s="204" t="s">
        <v>517</v>
      </c>
      <c r="BH29" s="204" t="s">
        <v>518</v>
      </c>
      <c r="BI29" s="204" t="s">
        <v>519</v>
      </c>
      <c r="BJ29" s="205" t="s">
        <v>520</v>
      </c>
      <c r="BK29" s="205" t="s">
        <v>521</v>
      </c>
      <c r="BL29" s="205" t="s">
        <v>522</v>
      </c>
      <c r="BM29" s="205" t="s">
        <v>523</v>
      </c>
      <c r="BN29" s="205"/>
      <c r="BO29" s="205"/>
      <c r="BP29" s="205" t="s">
        <v>524</v>
      </c>
      <c r="BQ29" s="205" t="s">
        <v>525</v>
      </c>
      <c r="BR29" s="203"/>
      <c r="BS29" s="203"/>
      <c r="BT29" s="203"/>
      <c r="BU29" s="203"/>
      <c r="BV29" t="s">
        <v>526</v>
      </c>
      <c r="BW29" s="203"/>
      <c r="BX29" s="203"/>
      <c r="BY29" s="203"/>
      <c r="BZ29" s="204" t="s">
        <v>320</v>
      </c>
    </row>
    <row r="30" spans="1:78" ht="409.6" hidden="1" x14ac:dyDescent="0.35">
      <c r="A30" s="200">
        <f>IF(+Info_Productos_Cuantitativo[[#This Row],[Producto No.]]="","",+Info_Productos_Cuantitativo[[#This Row],[Producto No.]])</f>
        <v>25</v>
      </c>
      <c r="B30" s="200" t="str">
        <f>IF(+Info_Productos_Cuantitativo[[#This Row],[Key]]="","",+Info_Productos_Cuantitativo[[#This Row],[Key]])</f>
        <v>5.</v>
      </c>
      <c r="C30" s="200" t="str">
        <f>IF(+Info_Productos_Cuantitativo[[#This Row],[Producto esperado]]="","",+Info_Productos_Cuantitativo[[#This Row],[Producto esperado]])</f>
        <v xml:space="preserve">5.1.1. Alianzas suscritas  por el IDRD para el fortalecimiento del sistema de parques y escenarios deportivos de la ciudad.  </v>
      </c>
      <c r="D30" s="200" t="str">
        <f>IF(+Info_Productos_Cuantitativo[[#This Row],[Nombre indicador de Producto]]="","",+Info_Productos_Cuantitativo[[#This Row],[Nombre indicador de Producto]])</f>
        <v xml:space="preserve">Alianzas suscritas para  generar mayor numero de intervención y uso de los parques y escenarios en la ciudad. </v>
      </c>
      <c r="E30" s="200" t="str">
        <f>IF(+Info_Productos_Cuantitativo[[#This Row],[Sector Líder]]="","",+Info_Productos_Cuantitativo[[#This Row],[Sector Líder]])</f>
        <v xml:space="preserve">Cultura, Recreación y Deporte </v>
      </c>
      <c r="F30" s="200">
        <f>IF(+Info_Productos_Cuantitativo[[#This Row],[Ponderación relativa del Producto (%)]]="","",+Info_Productos_Cuantitativo[[#This Row],[Ponderación relativa del Producto (%)]])</f>
        <v>0.03</v>
      </c>
      <c r="G30" s="200">
        <f>IF(+Info_Productos_Cuantitativo[[#This Row],[Valor Linea Base]]="","",+Info_Productos_Cuantitativo[[#This Row],[Valor Linea Base]])</f>
        <v>86</v>
      </c>
      <c r="H30" s="200" t="str">
        <f>IF(+Info_Productos_Cuantitativo[[#This Row],[Tipo de anualización]]="","",+Info_Productos_Cuantitativo[[#This Row],[Tipo de anualización]])</f>
        <v>Creciente</v>
      </c>
      <c r="I30" s="200" t="str">
        <f>IF(+Info_Productos_Cuantitativo[[#This Row],[Periodicidad de medición del indicador]]="","",+Info_Productos_Cuantitativo[[#This Row],[Periodicidad de medición del indicador]])</f>
        <v>Anual</v>
      </c>
      <c r="J30" s="201">
        <f>IF(+Info_Productos_Cuantitativo[[#This Row],[Fecha de Inicio]]="","",+Info_Productos_Cuantitativo[[#This Row],[Fecha de Inicio]])</f>
        <v>44774</v>
      </c>
      <c r="K30" s="201">
        <f>IF(+Info_Productos_Cuantitativo[[#This Row],[Fecha de Finalización]]="","",+Info_Productos_Cuantitativo[[#This Row],[Fecha de Finalización]])</f>
        <v>48579</v>
      </c>
      <c r="L30" s="202" t="str">
        <f>IF(+Info_Productos_Cuantitativo[[#This Row],[Corte del último reporte]]="","",+Info_Productos_Cuantitativo[[#This Row],[Corte del último reporte]])</f>
        <v>Q2</v>
      </c>
      <c r="M30" s="202" t="str">
        <f>IF(+Info_Productos_Cuantitativo[[#This Row],[Año del último reporte]]="","",+Info_Productos_Cuantitativo[[#This Row],[Año del último reporte]])</f>
        <v>2025</v>
      </c>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3"/>
      <c r="AN30" s="203"/>
      <c r="AO30" s="203"/>
      <c r="AP30" s="203"/>
      <c r="AQ30" s="203"/>
      <c r="AR30" s="203"/>
      <c r="AS30" s="203"/>
      <c r="AT30" s="203"/>
      <c r="AU30" s="203"/>
      <c r="AV30" s="203"/>
      <c r="AW30" s="203"/>
      <c r="AX30" s="203"/>
      <c r="AY30" s="203"/>
      <c r="AZ30" s="204"/>
      <c r="BA30" s="204"/>
      <c r="BB30" s="204" t="s">
        <v>527</v>
      </c>
      <c r="BC30" s="204" t="s">
        <v>413</v>
      </c>
      <c r="BD30" s="204"/>
      <c r="BE30" s="204"/>
      <c r="BF30" s="204"/>
      <c r="BG30" s="204"/>
      <c r="BH30" s="204" t="s">
        <v>528</v>
      </c>
      <c r="BI30" s="204" t="s">
        <v>413</v>
      </c>
      <c r="BJ30" s="205"/>
      <c r="BK30" s="205"/>
      <c r="BL30" s="205" t="s">
        <v>529</v>
      </c>
      <c r="BM30" s="205" t="s">
        <v>530</v>
      </c>
      <c r="BN30" s="205"/>
      <c r="BO30" s="205"/>
      <c r="BP30" s="208" t="s">
        <v>531</v>
      </c>
      <c r="BQ30" s="205" t="s">
        <v>532</v>
      </c>
      <c r="BR30" s="203"/>
      <c r="BS30" s="203"/>
      <c r="BT30" s="203"/>
      <c r="BU30" s="203"/>
      <c r="BV30" s="203"/>
      <c r="BW30" s="203"/>
      <c r="BX30" s="203"/>
      <c r="BY30" s="203"/>
      <c r="BZ30" s="204" t="s">
        <v>533</v>
      </c>
    </row>
    <row r="31" spans="1:78" ht="113.1" hidden="1" customHeight="1" x14ac:dyDescent="0.35">
      <c r="A31" s="200">
        <f>IF(+Info_Productos_Cuantitativo[[#This Row],[Producto No.]]="","",+Info_Productos_Cuantitativo[[#This Row],[Producto No.]])</f>
        <v>26</v>
      </c>
      <c r="B31" s="200" t="str">
        <f>IF(+Info_Productos_Cuantitativo[[#This Row],[Key]]="","",+Info_Productos_Cuantitativo[[#This Row],[Key]])</f>
        <v>5.</v>
      </c>
      <c r="C31" s="200" t="str">
        <f>IF(+Info_Productos_Cuantitativo[[#This Row],[Producto esperado]]="","",+Info_Productos_Cuantitativo[[#This Row],[Producto esperado]])</f>
        <v>5.1.2 Intervenciones recreodeportivas en los espacios de influencia de los Distritos Creativos.</v>
      </c>
      <c r="D31" s="200" t="str">
        <f>IF(+Info_Productos_Cuantitativo[[#This Row],[Nombre indicador de Producto]]="","",+Info_Productos_Cuantitativo[[#This Row],[Nombre indicador de Producto]])</f>
        <v>Intervenciones recreodeportivas en los espacios de influencia de los Distritos Creativos.</v>
      </c>
      <c r="E31" s="200" t="str">
        <f>IF(+Info_Productos_Cuantitativo[[#This Row],[Sector Líder]]="","",+Info_Productos_Cuantitativo[[#This Row],[Sector Líder]])</f>
        <v xml:space="preserve">Cultura, Recreación y Deporte </v>
      </c>
      <c r="F31" s="200">
        <f>IF(+Info_Productos_Cuantitativo[[#This Row],[Ponderación relativa del Producto (%)]]="","",+Info_Productos_Cuantitativo[[#This Row],[Ponderación relativa del Producto (%)]])</f>
        <v>0.02</v>
      </c>
      <c r="G31" s="200" t="str">
        <f>IF(+Info_Productos_Cuantitativo[[#This Row],[Valor Linea Base]]="","",+Info_Productos_Cuantitativo[[#This Row],[Valor Linea Base]])</f>
        <v/>
      </c>
      <c r="H31" s="200" t="str">
        <f>IF(+Info_Productos_Cuantitativo[[#This Row],[Tipo de anualización]]="","",+Info_Productos_Cuantitativo[[#This Row],[Tipo de anualización]])</f>
        <v>Suma</v>
      </c>
      <c r="I31" s="200" t="str">
        <f>IF(+Info_Productos_Cuantitativo[[#This Row],[Periodicidad de medición del indicador]]="","",+Info_Productos_Cuantitativo[[#This Row],[Periodicidad de medición del indicador]])</f>
        <v>Anual</v>
      </c>
      <c r="J31" s="201">
        <f>IF(+Info_Productos_Cuantitativo[[#This Row],[Fecha de Inicio]]="","",+Info_Productos_Cuantitativo[[#This Row],[Fecha de Inicio]])</f>
        <v>44927</v>
      </c>
      <c r="K31" s="201">
        <f>IF(+Info_Productos_Cuantitativo[[#This Row],[Fecha de Finalización]]="","",+Info_Productos_Cuantitativo[[#This Row],[Fecha de Finalización]])</f>
        <v>48579</v>
      </c>
      <c r="L31" s="202" t="str">
        <f>IF(+Info_Productos_Cuantitativo[[#This Row],[Corte del último reporte]]="","",+Info_Productos_Cuantitativo[[#This Row],[Corte del último reporte]])</f>
        <v>Q2</v>
      </c>
      <c r="M31" s="202" t="str">
        <f>IF(+Info_Productos_Cuantitativo[[#This Row],[Año del último reporte]]="","",+Info_Productos_Cuantitativo[[#This Row],[Año del último reporte]])</f>
        <v>2025</v>
      </c>
      <c r="N31" s="203"/>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03"/>
      <c r="AV31" s="203"/>
      <c r="AW31" s="203"/>
      <c r="AX31" s="203"/>
      <c r="AY31" s="203"/>
      <c r="AZ31" s="204" t="s">
        <v>534</v>
      </c>
      <c r="BA31" s="204" t="s">
        <v>535</v>
      </c>
      <c r="BB31" s="204" t="s">
        <v>536</v>
      </c>
      <c r="BC31" s="204" t="s">
        <v>537</v>
      </c>
      <c r="BD31" s="204"/>
      <c r="BE31" s="204"/>
      <c r="BF31" s="204"/>
      <c r="BG31" s="204"/>
      <c r="BH31" s="204"/>
      <c r="BI31" s="204"/>
      <c r="BJ31" s="205"/>
      <c r="BK31" s="205"/>
      <c r="BL31" s="205" t="s">
        <v>538</v>
      </c>
      <c r="BM31" s="205" t="s">
        <v>539</v>
      </c>
      <c r="BN31" s="205"/>
      <c r="BO31" s="205"/>
      <c r="BP31" s="205" t="s">
        <v>540</v>
      </c>
      <c r="BQ31" s="205" t="s">
        <v>541</v>
      </c>
      <c r="BR31" s="203"/>
      <c r="BS31" s="203"/>
      <c r="BT31" s="203"/>
      <c r="BU31" s="203"/>
      <c r="BV31" s="203"/>
      <c r="BW31" s="203"/>
      <c r="BX31" s="203"/>
      <c r="BY31" s="203"/>
      <c r="BZ31" s="204" t="s">
        <v>320</v>
      </c>
    </row>
    <row r="32" spans="1:78" ht="409.6" hidden="1" x14ac:dyDescent="0.35">
      <c r="A32" s="200">
        <f>IF(+Info_Productos_Cuantitativo[[#This Row],[Producto No.]]="","",+Info_Productos_Cuantitativo[[#This Row],[Producto No.]])</f>
        <v>27</v>
      </c>
      <c r="B32" s="200" t="str">
        <f>IF(+Info_Productos_Cuantitativo[[#This Row],[Key]]="","",+Info_Productos_Cuantitativo[[#This Row],[Key]])</f>
        <v>5.</v>
      </c>
      <c r="C32" s="200" t="str">
        <f>IF(+Info_Productos_Cuantitativo[[#This Row],[Producto esperado]]="","",+Info_Productos_Cuantitativo[[#This Row],[Producto esperado]])</f>
        <v>5.1.3. Protocolo para el fomento del respeto a la diversidad poblacional y la prevención de violencias basadas en género  en los parques y escenarios administrados directamente por el IDRD</v>
      </c>
      <c r="D32" s="200" t="str">
        <f>IF(+Info_Productos_Cuantitativo[[#This Row],[Nombre indicador de Producto]]="","",+Info_Productos_Cuantitativo[[#This Row],[Nombre indicador de Producto]])</f>
        <v xml:space="preserve">Protocolo para el fomento del respeto a la diversidad poblacional y la prevención de violencias basadas en género  en los parques y escenarios administrados directamente por el IDRD </v>
      </c>
      <c r="E32" s="200" t="str">
        <f>IF(+Info_Productos_Cuantitativo[[#This Row],[Sector Líder]]="","",+Info_Productos_Cuantitativo[[#This Row],[Sector Líder]])</f>
        <v xml:space="preserve">Cultura, Recreación y Deporte </v>
      </c>
      <c r="F32" s="200">
        <f>IF(+Info_Productos_Cuantitativo[[#This Row],[Ponderación relativa del Producto (%)]]="","",+Info_Productos_Cuantitativo[[#This Row],[Ponderación relativa del Producto (%)]])</f>
        <v>0.05</v>
      </c>
      <c r="G32" s="200">
        <f>IF(+Info_Productos_Cuantitativo[[#This Row],[Valor Linea Base]]="","",+Info_Productos_Cuantitativo[[#This Row],[Valor Linea Base]])</f>
        <v>128</v>
      </c>
      <c r="H32" s="200" t="str">
        <f>IF(+Info_Productos_Cuantitativo[[#This Row],[Tipo de anualización]]="","",+Info_Productos_Cuantitativo[[#This Row],[Tipo de anualización]])</f>
        <v>Constante</v>
      </c>
      <c r="I32" s="200" t="str">
        <f>IF(+Info_Productos_Cuantitativo[[#This Row],[Periodicidad de medición del indicador]]="","",+Info_Productos_Cuantitativo[[#This Row],[Periodicidad de medición del indicador]])</f>
        <v>Semestral</v>
      </c>
      <c r="J32" s="201">
        <f>IF(+Info_Productos_Cuantitativo[[#This Row],[Fecha de Inicio]]="","",+Info_Productos_Cuantitativo[[#This Row],[Fecha de Inicio]])</f>
        <v>44774</v>
      </c>
      <c r="K32" s="201">
        <f>IF(+Info_Productos_Cuantitativo[[#This Row],[Fecha de Finalización]]="","",+Info_Productos_Cuantitativo[[#This Row],[Fecha de Finalización]])</f>
        <v>48579</v>
      </c>
      <c r="L32" s="202" t="str">
        <f>IF(+Info_Productos_Cuantitativo[[#This Row],[Corte del último reporte]]="","",+Info_Productos_Cuantitativo[[#This Row],[Corte del último reporte]])</f>
        <v>Q2</v>
      </c>
      <c r="M32" s="202" t="str">
        <f>IF(+Info_Productos_Cuantitativo[[#This Row],[Año del último reporte]]="","",+Info_Productos_Cuantitativo[[#This Row],[Año del último reporte]])</f>
        <v>2025</v>
      </c>
      <c r="N32" s="20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4" t="s">
        <v>542</v>
      </c>
      <c r="BA32" s="204" t="s">
        <v>543</v>
      </c>
      <c r="BB32" s="204" t="s">
        <v>544</v>
      </c>
      <c r="BC32" s="204" t="s">
        <v>413</v>
      </c>
      <c r="BD32" s="216" t="s">
        <v>545</v>
      </c>
      <c r="BE32" s="216" t="s">
        <v>413</v>
      </c>
      <c r="BF32" s="204"/>
      <c r="BG32" s="204"/>
      <c r="BH32" s="204" t="s">
        <v>545</v>
      </c>
      <c r="BI32" s="204" t="s">
        <v>413</v>
      </c>
      <c r="BJ32" s="205"/>
      <c r="BK32" s="205"/>
      <c r="BL32" s="205" t="s">
        <v>546</v>
      </c>
      <c r="BM32" s="205" t="s">
        <v>547</v>
      </c>
      <c r="BN32" s="205"/>
      <c r="BO32" s="205"/>
      <c r="BP32" s="208" t="s">
        <v>548</v>
      </c>
      <c r="BQ32" s="205" t="s">
        <v>549</v>
      </c>
      <c r="BR32" s="203"/>
      <c r="BS32" s="203"/>
      <c r="BT32" s="203"/>
      <c r="BU32" s="203"/>
      <c r="BV32" s="203"/>
      <c r="BW32" s="203"/>
      <c r="BX32" s="203"/>
      <c r="BY32" s="203"/>
      <c r="BZ32" s="204" t="s">
        <v>550</v>
      </c>
    </row>
    <row r="33" spans="1:78" ht="409.6" hidden="1" x14ac:dyDescent="0.35">
      <c r="A33" s="200">
        <f>IF(+Info_Productos_Cuantitativo[[#This Row],[Producto No.]]="","",+Info_Productos_Cuantitativo[[#This Row],[Producto No.]])</f>
        <v>28</v>
      </c>
      <c r="B33" s="200" t="str">
        <f>IF(+Info_Productos_Cuantitativo[[#This Row],[Key]]="","",+Info_Productos_Cuantitativo[[#This Row],[Key]])</f>
        <v>5.</v>
      </c>
      <c r="C33" s="200" t="str">
        <f>IF(+Info_Productos_Cuantitativo[[#This Row],[Producto esperado]]="","",+Info_Productos_Cuantitativo[[#This Row],[Producto esperado]])</f>
        <v>5.1.4. Parques y escenarios de administración directa del IDRD con oferta de conectividad digital para sus asistentes y el equipo técnico del IDRD.</v>
      </c>
      <c r="D33" s="200" t="str">
        <f>IF(+Info_Productos_Cuantitativo[[#This Row],[Nombre indicador de Producto]]="","",+Info_Productos_Cuantitativo[[#This Row],[Nombre indicador de Producto]])</f>
        <v>Parques y escenarios de administración directa del IDRD con oferta de conectividad digital para sus asistentes y el equipo técnico del IDRD</v>
      </c>
      <c r="E33" s="200" t="str">
        <f>IF(+Info_Productos_Cuantitativo[[#This Row],[Sector Líder]]="","",+Info_Productos_Cuantitativo[[#This Row],[Sector Líder]])</f>
        <v xml:space="preserve">Cultura, Recreación y Deporte </v>
      </c>
      <c r="F33" s="200">
        <f>IF(+Info_Productos_Cuantitativo[[#This Row],[Ponderación relativa del Producto (%)]]="","",+Info_Productos_Cuantitativo[[#This Row],[Ponderación relativa del Producto (%)]])</f>
        <v>0.05</v>
      </c>
      <c r="G33" s="200" t="str">
        <f>IF(+Info_Productos_Cuantitativo[[#This Row],[Valor Linea Base]]="","",+Info_Productos_Cuantitativo[[#This Row],[Valor Linea Base]])</f>
        <v/>
      </c>
      <c r="H33" s="200" t="str">
        <f>IF(+Info_Productos_Cuantitativo[[#This Row],[Tipo de anualización]]="","",+Info_Productos_Cuantitativo[[#This Row],[Tipo de anualización]])</f>
        <v>Creciente</v>
      </c>
      <c r="I33" s="200" t="str">
        <f>IF(+Info_Productos_Cuantitativo[[#This Row],[Periodicidad de medición del indicador]]="","",+Info_Productos_Cuantitativo[[#This Row],[Periodicidad de medición del indicador]])</f>
        <v>Semestral</v>
      </c>
      <c r="J33" s="201">
        <f>IF(+Info_Productos_Cuantitativo[[#This Row],[Fecha de Inicio]]="","",+Info_Productos_Cuantitativo[[#This Row],[Fecha de Inicio]])</f>
        <v>44774</v>
      </c>
      <c r="K33" s="201">
        <f>IF(+Info_Productos_Cuantitativo[[#This Row],[Fecha de Finalización]]="","",+Info_Productos_Cuantitativo[[#This Row],[Fecha de Finalización]])</f>
        <v>48579</v>
      </c>
      <c r="L33" s="202" t="str">
        <f>IF(+Info_Productos_Cuantitativo[[#This Row],[Corte del último reporte]]="","",+Info_Productos_Cuantitativo[[#This Row],[Corte del último reporte]])</f>
        <v>Q2</v>
      </c>
      <c r="M33" s="202" t="str">
        <f>IF(+Info_Productos_Cuantitativo[[#This Row],[Año del último reporte]]="","",+Info_Productos_Cuantitativo[[#This Row],[Año del último reporte]])</f>
        <v>2025</v>
      </c>
      <c r="N33" s="203"/>
      <c r="O33" s="203"/>
      <c r="P33" s="203"/>
      <c r="Q33" s="203"/>
      <c r="R33" s="203"/>
      <c r="S33" s="203"/>
      <c r="T33" s="203"/>
      <c r="U33" s="203"/>
      <c r="V33" s="203"/>
      <c r="W33" s="203"/>
      <c r="X33" s="203"/>
      <c r="Y33" s="203"/>
      <c r="Z33" s="203"/>
      <c r="AA33" s="203"/>
      <c r="AB33" s="203"/>
      <c r="AC33" s="203"/>
      <c r="AD33" s="203"/>
      <c r="AE33" s="203"/>
      <c r="AF33" s="203"/>
      <c r="AG33" s="203"/>
      <c r="AH33" s="203"/>
      <c r="AI33" s="203"/>
      <c r="AJ33" s="203"/>
      <c r="AK33" s="203"/>
      <c r="AL33" s="203"/>
      <c r="AM33" s="203"/>
      <c r="AN33" s="203"/>
      <c r="AO33" s="203"/>
      <c r="AP33" s="203"/>
      <c r="AQ33" s="203"/>
      <c r="AR33" s="203"/>
      <c r="AS33" s="203"/>
      <c r="AT33" s="203"/>
      <c r="AU33" s="203"/>
      <c r="AV33" s="203"/>
      <c r="AW33" s="203"/>
      <c r="AX33" s="203"/>
      <c r="AY33" s="203"/>
      <c r="AZ33" s="204" t="s">
        <v>551</v>
      </c>
      <c r="BA33" s="204" t="s">
        <v>552</v>
      </c>
      <c r="BB33" s="204" t="s">
        <v>553</v>
      </c>
      <c r="BC33" s="204" t="s">
        <v>413</v>
      </c>
      <c r="BD33" s="217" t="s">
        <v>554</v>
      </c>
      <c r="BE33" s="218" t="s">
        <v>413</v>
      </c>
      <c r="BF33" s="204"/>
      <c r="BG33" s="204"/>
      <c r="BH33" s="204" t="s">
        <v>554</v>
      </c>
      <c r="BI33" s="204" t="s">
        <v>413</v>
      </c>
      <c r="BJ33" s="205"/>
      <c r="BK33" s="205"/>
      <c r="BL33" s="205" t="s">
        <v>555</v>
      </c>
      <c r="BM33" s="205" t="s">
        <v>556</v>
      </c>
      <c r="BN33" s="205"/>
      <c r="BO33" s="205"/>
      <c r="BP33" s="205" t="s">
        <v>557</v>
      </c>
      <c r="BQ33" s="205" t="s">
        <v>558</v>
      </c>
      <c r="BR33" s="203"/>
      <c r="BS33" s="203"/>
      <c r="BT33" s="203"/>
      <c r="BU33" s="203"/>
      <c r="BV33" s="203"/>
      <c r="BW33" s="203"/>
      <c r="BX33" s="203"/>
      <c r="BY33" s="203"/>
      <c r="BZ33" s="204" t="s">
        <v>550</v>
      </c>
    </row>
    <row r="34" spans="1:78" ht="74.099999999999994" hidden="1" customHeight="1" x14ac:dyDescent="0.35">
      <c r="A34" s="200">
        <f>IF(+Info_Productos_Cuantitativo[[#This Row],[Producto No.]]="","",+Info_Productos_Cuantitativo[[#This Row],[Producto No.]])</f>
        <v>29</v>
      </c>
      <c r="B34" s="200" t="str">
        <f>IF(+Info_Productos_Cuantitativo[[#This Row],[Key]]="","",+Info_Productos_Cuantitativo[[#This Row],[Key]])</f>
        <v>5.</v>
      </c>
      <c r="C34" s="200" t="str">
        <f>IF(+Info_Productos_Cuantitativo[[#This Row],[Producto esperado]]="","",+Info_Productos_Cuantitativo[[#This Row],[Producto esperado]])</f>
        <v>5.2.1. Estrategias de adaptación y  mitigación del cambio climático implementadas en el  sistema de parques y escenarios.</v>
      </c>
      <c r="D34" s="200" t="str">
        <f>IF(+Info_Productos_Cuantitativo[[#This Row],[Nombre indicador de Producto]]="","",+Info_Productos_Cuantitativo[[#This Row],[Nombre indicador de Producto]])</f>
        <v>Estrategias de adaptación y mitigación del cambio climático implementadas en el  sistema de parques y escenarios.</v>
      </c>
      <c r="E34" s="200" t="str">
        <f>IF(+Info_Productos_Cuantitativo[[#This Row],[Sector Líder]]="","",+Info_Productos_Cuantitativo[[#This Row],[Sector Líder]])</f>
        <v xml:space="preserve">Cultura, Recreación y Deporte </v>
      </c>
      <c r="F34" s="200">
        <f>IF(+Info_Productos_Cuantitativo[[#This Row],[Ponderación relativa del Producto (%)]]="","",+Info_Productos_Cuantitativo[[#This Row],[Ponderación relativa del Producto (%)]])</f>
        <v>0.08</v>
      </c>
      <c r="G34" s="200">
        <f>IF(+Info_Productos_Cuantitativo[[#This Row],[Valor Linea Base]]="","",+Info_Productos_Cuantitativo[[#This Row],[Valor Linea Base]])</f>
        <v>2</v>
      </c>
      <c r="H34" s="200" t="str">
        <f>IF(+Info_Productos_Cuantitativo[[#This Row],[Tipo de anualización]]="","",+Info_Productos_Cuantitativo[[#This Row],[Tipo de anualización]])</f>
        <v>Suma</v>
      </c>
      <c r="I34" s="200" t="str">
        <f>IF(+Info_Productos_Cuantitativo[[#This Row],[Periodicidad de medición del indicador]]="","",+Info_Productos_Cuantitativo[[#This Row],[Periodicidad de medición del indicador]])</f>
        <v>Semestral</v>
      </c>
      <c r="J34" s="201">
        <f>IF(+Info_Productos_Cuantitativo[[#This Row],[Fecha de Inicio]]="","",+Info_Productos_Cuantitativo[[#This Row],[Fecha de Inicio]])</f>
        <v>44774</v>
      </c>
      <c r="K34" s="201">
        <f>IF(+Info_Productos_Cuantitativo[[#This Row],[Fecha de Finalización]]="","",+Info_Productos_Cuantitativo[[#This Row],[Fecha de Finalización]])</f>
        <v>48579</v>
      </c>
      <c r="L34" s="202" t="str">
        <f>IF(+Info_Productos_Cuantitativo[[#This Row],[Corte del último reporte]]="","",+Info_Productos_Cuantitativo[[#This Row],[Corte del último reporte]])</f>
        <v>Q2</v>
      </c>
      <c r="M34" s="202" t="str">
        <f>IF(+Info_Productos_Cuantitativo[[#This Row],[Año del último reporte]]="","",+Info_Productos_Cuantitativo[[#This Row],[Año del último reporte]])</f>
        <v>2025</v>
      </c>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3"/>
      <c r="AN34" s="203"/>
      <c r="AO34" s="203"/>
      <c r="AP34" s="203"/>
      <c r="AQ34" s="203"/>
      <c r="AR34" s="203"/>
      <c r="AS34" s="203"/>
      <c r="AT34" s="203"/>
      <c r="AU34" s="203"/>
      <c r="AV34" s="203"/>
      <c r="AW34" s="203"/>
      <c r="AX34" s="203"/>
      <c r="AY34" s="203"/>
      <c r="AZ34" s="204" t="s">
        <v>559</v>
      </c>
      <c r="BA34" s="204" t="s">
        <v>560</v>
      </c>
      <c r="BB34" s="204" t="s">
        <v>561</v>
      </c>
      <c r="BC34" s="204" t="s">
        <v>413</v>
      </c>
      <c r="BD34" s="216" t="s">
        <v>562</v>
      </c>
      <c r="BE34" s="216" t="s">
        <v>413</v>
      </c>
      <c r="BF34" s="204"/>
      <c r="BG34" s="204"/>
      <c r="BH34" s="204" t="s">
        <v>562</v>
      </c>
      <c r="BI34" s="204" t="s">
        <v>413</v>
      </c>
      <c r="BJ34" s="205"/>
      <c r="BK34" s="205"/>
      <c r="BL34" s="205" t="s">
        <v>563</v>
      </c>
      <c r="BM34" s="205" t="s">
        <v>564</v>
      </c>
      <c r="BN34" s="205"/>
      <c r="BO34" s="205"/>
      <c r="BP34" s="205" t="s">
        <v>565</v>
      </c>
      <c r="BQ34" s="205" t="s">
        <v>566</v>
      </c>
      <c r="BR34" s="203"/>
      <c r="BS34" s="203"/>
      <c r="BT34" s="203"/>
      <c r="BU34" s="203"/>
      <c r="BV34" s="203"/>
      <c r="BW34" s="203"/>
      <c r="BX34" s="203"/>
      <c r="BY34" s="203"/>
      <c r="BZ34" s="204" t="s">
        <v>413</v>
      </c>
    </row>
    <row r="35" spans="1:78" ht="123" hidden="1" customHeight="1" x14ac:dyDescent="0.35">
      <c r="A35" s="200">
        <f>IF(+Info_Productos_Cuantitativo[[#This Row],[Producto No.]]="","",+Info_Productos_Cuantitativo[[#This Row],[Producto No.]])</f>
        <v>30</v>
      </c>
      <c r="B35" s="200" t="str">
        <f>IF(+Info_Productos_Cuantitativo[[#This Row],[Key]]="","",+Info_Productos_Cuantitativo[[#This Row],[Key]])</f>
        <v>5.</v>
      </c>
      <c r="C35" s="200" t="str">
        <f>IF(+Info_Productos_Cuantitativo[[#This Row],[Producto esperado]]="","",+Info_Productos_Cuantitativo[[#This Row],[Producto esperado]])</f>
        <v>5.2.2 Intervenciones de siembra, cuidado y mantenimiento del arbolado en los parques existentes</v>
      </c>
      <c r="D35" s="200" t="str">
        <f>IF(+Info_Productos_Cuantitativo[[#This Row],[Nombre indicador de Producto]]="","",+Info_Productos_Cuantitativo[[#This Row],[Nombre indicador de Producto]])</f>
        <v>Ejemplares Vegetales mantenidos</v>
      </c>
      <c r="E35" s="200" t="str">
        <f>IF(+Info_Productos_Cuantitativo[[#This Row],[Sector Líder]]="","",+Info_Productos_Cuantitativo[[#This Row],[Sector Líder]])</f>
        <v>Ambiente</v>
      </c>
      <c r="F35" s="200">
        <f>IF(+Info_Productos_Cuantitativo[[#This Row],[Ponderación relativa del Producto (%)]]="","",+Info_Productos_Cuantitativo[[#This Row],[Ponderación relativa del Producto (%)]])</f>
        <v>7.0000000000000007E-2</v>
      </c>
      <c r="G35" s="200">
        <f>IF(+Info_Productos_Cuantitativo[[#This Row],[Valor Linea Base]]="","",+Info_Productos_Cuantitativo[[#This Row],[Valor Linea Base]])</f>
        <v>69661</v>
      </c>
      <c r="H35" s="200" t="str">
        <f>IF(+Info_Productos_Cuantitativo[[#This Row],[Tipo de anualización]]="","",+Info_Productos_Cuantitativo[[#This Row],[Tipo de anualización]])</f>
        <v>Constante</v>
      </c>
      <c r="I35" s="200" t="str">
        <f>IF(+Info_Productos_Cuantitativo[[#This Row],[Periodicidad de medición del indicador]]="","",+Info_Productos_Cuantitativo[[#This Row],[Periodicidad de medición del indicador]])</f>
        <v>Semestral</v>
      </c>
      <c r="J35" s="201">
        <f>IF(+Info_Productos_Cuantitativo[[#This Row],[Fecha de Inicio]]="","",+Info_Productos_Cuantitativo[[#This Row],[Fecha de Inicio]])</f>
        <v>44742</v>
      </c>
      <c r="K35" s="201">
        <f>IF(+Info_Productos_Cuantitativo[[#This Row],[Fecha de Finalización]]="","",+Info_Productos_Cuantitativo[[#This Row],[Fecha de Finalización]])</f>
        <v>413805</v>
      </c>
      <c r="L35" s="202" t="str">
        <f>IF(+Info_Productos_Cuantitativo[[#This Row],[Corte del último reporte]]="","",+Info_Productos_Cuantitativo[[#This Row],[Corte del último reporte]])</f>
        <v>Q2</v>
      </c>
      <c r="M35" s="202" t="str">
        <f>IF(+Info_Productos_Cuantitativo[[#This Row],[Año del último reporte]]="","",+Info_Productos_Cuantitativo[[#This Row],[Año del último reporte]])</f>
        <v>2025</v>
      </c>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3"/>
      <c r="AY35" s="203"/>
      <c r="AZ35" s="204"/>
      <c r="BA35" s="204"/>
      <c r="BB35" s="204" t="s">
        <v>567</v>
      </c>
      <c r="BC35" s="204" t="s">
        <v>568</v>
      </c>
      <c r="BD35" s="204" t="s">
        <v>569</v>
      </c>
      <c r="BE35" s="217" t="s">
        <v>570</v>
      </c>
      <c r="BF35" s="204"/>
      <c r="BG35" s="204"/>
      <c r="BH35" s="204" t="s">
        <v>571</v>
      </c>
      <c r="BI35" s="204" t="s">
        <v>570</v>
      </c>
      <c r="BJ35" s="205"/>
      <c r="BK35" s="205"/>
      <c r="BL35" s="207" t="s">
        <v>572</v>
      </c>
      <c r="BM35" s="205" t="s">
        <v>573</v>
      </c>
      <c r="BN35" s="205"/>
      <c r="BO35" s="205"/>
      <c r="BP35" s="205" t="s">
        <v>574</v>
      </c>
      <c r="BQ35" s="205" t="s">
        <v>573</v>
      </c>
      <c r="BR35" s="203"/>
      <c r="BS35" s="203"/>
      <c r="BT35" s="203"/>
      <c r="BU35" s="203"/>
      <c r="BV35" s="203"/>
      <c r="BW35" s="203"/>
      <c r="BX35" s="203"/>
      <c r="BY35" s="203"/>
      <c r="BZ35" s="204" t="s">
        <v>361</v>
      </c>
    </row>
    <row r="37" spans="1:78" ht="41.25" customHeight="1" x14ac:dyDescent="0.35">
      <c r="BS37" s="192" t="s">
        <v>575</v>
      </c>
    </row>
  </sheetData>
  <mergeCells count="43">
    <mergeCell ref="BX4:BY4"/>
    <mergeCell ref="AB4:AC4"/>
    <mergeCell ref="AD4:AE4"/>
    <mergeCell ref="AP4:AQ4"/>
    <mergeCell ref="AR4:AS4"/>
    <mergeCell ref="AT4:AU4"/>
    <mergeCell ref="AL4:AM4"/>
    <mergeCell ref="AN4:AO4"/>
    <mergeCell ref="A1:L1"/>
    <mergeCell ref="N3:U3"/>
    <mergeCell ref="V3:AC3"/>
    <mergeCell ref="AD3:AK3"/>
    <mergeCell ref="AL3:AS3"/>
    <mergeCell ref="A2:M4"/>
    <mergeCell ref="N4:O4"/>
    <mergeCell ref="P4:Q4"/>
    <mergeCell ref="N2:BY2"/>
    <mergeCell ref="BR3:BY3"/>
    <mergeCell ref="BR4:BS4"/>
    <mergeCell ref="BT4:BU4"/>
    <mergeCell ref="BV4:BW4"/>
    <mergeCell ref="AJ4:AK4"/>
    <mergeCell ref="AF4:AG4"/>
    <mergeCell ref="AH4:AI4"/>
    <mergeCell ref="R4:S4"/>
    <mergeCell ref="T4:U4"/>
    <mergeCell ref="V4:W4"/>
    <mergeCell ref="X4:Y4"/>
    <mergeCell ref="Z4:AA4"/>
    <mergeCell ref="BJ3:BQ3"/>
    <mergeCell ref="BJ4:BK4"/>
    <mergeCell ref="AX4:AY4"/>
    <mergeCell ref="BD4:BE4"/>
    <mergeCell ref="BH4:BI4"/>
    <mergeCell ref="BB4:BC4"/>
    <mergeCell ref="BF4:BG4"/>
    <mergeCell ref="AZ4:BA4"/>
    <mergeCell ref="BL4:BM4"/>
    <mergeCell ref="BN4:BO4"/>
    <mergeCell ref="BP4:BQ4"/>
    <mergeCell ref="BB3:BI3"/>
    <mergeCell ref="AT3:BA3"/>
    <mergeCell ref="AV4:AW4"/>
  </mergeCells>
  <dataValidations count="1">
    <dataValidation allowBlank="1" sqref="C5:G5 I5:M5" xr:uid="{00000000-0002-0000-0200-000000000000}"/>
  </dataValidations>
  <pageMargins left="0.7" right="0.7" top="0.75" bottom="0.75" header="0.3" footer="0.3"/>
  <pageSetup orientation="portrait" horizontalDpi="1200" verticalDpi="1200" r:id="rId1"/>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sheetPr>
  <dimension ref="A1:S34"/>
  <sheetViews>
    <sheetView zoomScale="145" zoomScaleNormal="145" workbookViewId="0">
      <selection activeCell="D15" sqref="D15"/>
    </sheetView>
  </sheetViews>
  <sheetFormatPr baseColWidth="10" defaultColWidth="11.44140625" defaultRowHeight="14.4" x14ac:dyDescent="0.3"/>
  <cols>
    <col min="1" max="1" width="8.44140625" style="40" customWidth="1"/>
    <col min="2" max="2" width="6.88671875" style="40" customWidth="1"/>
    <col min="3" max="3" width="58.88671875" style="40" customWidth="1"/>
    <col min="4" max="4" width="20" style="40" customWidth="1"/>
    <col min="5" max="5" width="15.109375" style="40" customWidth="1"/>
    <col min="6" max="6" width="18.109375" style="40" customWidth="1"/>
    <col min="7" max="9" width="13.44140625" style="40" customWidth="1"/>
    <col min="10" max="10" width="23.44140625" style="40" customWidth="1"/>
    <col min="11" max="11" width="14.88671875" style="40" customWidth="1"/>
    <col min="12" max="12" width="12.88671875" style="40" customWidth="1"/>
    <col min="13" max="15" width="14.44140625" style="40" customWidth="1"/>
    <col min="16" max="16" width="11.44140625" style="40"/>
    <col min="17" max="17" width="14.88671875" style="40" customWidth="1"/>
    <col min="18" max="18" width="21.109375" style="40" customWidth="1"/>
    <col min="19" max="19" width="15.88671875" style="40" customWidth="1"/>
    <col min="20" max="16384" width="11.44140625" style="40"/>
  </cols>
  <sheetData>
    <row r="1" spans="1:19" ht="23.4" x14ac:dyDescent="0.3">
      <c r="C1" s="48" t="s">
        <v>576</v>
      </c>
      <c r="D1" s="110">
        <v>2024</v>
      </c>
    </row>
    <row r="2" spans="1:19" ht="24" thickBot="1" x14ac:dyDescent="0.35">
      <c r="C2" s="48" t="s">
        <v>577</v>
      </c>
      <c r="D2" s="92" t="s">
        <v>27</v>
      </c>
    </row>
    <row r="3" spans="1:19" ht="45" customHeight="1" thickBot="1" x14ac:dyDescent="0.35">
      <c r="F3" s="317" t="s">
        <v>578</v>
      </c>
      <c r="G3" s="318"/>
      <c r="H3" s="321" t="s">
        <v>579</v>
      </c>
      <c r="I3" s="322"/>
      <c r="J3" s="319" t="s">
        <v>580</v>
      </c>
      <c r="K3" s="320"/>
      <c r="L3" s="317" t="s">
        <v>578</v>
      </c>
      <c r="M3" s="318"/>
      <c r="N3" s="321" t="s">
        <v>579</v>
      </c>
      <c r="O3" s="322"/>
      <c r="P3" s="319" t="s">
        <v>580</v>
      </c>
      <c r="Q3" s="320"/>
      <c r="R3" s="315" t="s">
        <v>581</v>
      </c>
      <c r="S3" s="316"/>
    </row>
    <row r="4" spans="1:19" ht="58.2" thickBot="1" x14ac:dyDescent="0.35">
      <c r="A4" s="241" t="s">
        <v>582</v>
      </c>
      <c r="B4" s="241" t="s">
        <v>124</v>
      </c>
      <c r="C4" s="241" t="s">
        <v>125</v>
      </c>
      <c r="D4" s="242" t="s">
        <v>127</v>
      </c>
      <c r="E4" s="243" t="s">
        <v>128</v>
      </c>
      <c r="F4" s="41" t="s">
        <v>583</v>
      </c>
      <c r="G4" s="42" t="s">
        <v>584</v>
      </c>
      <c r="H4" s="244" t="s">
        <v>585</v>
      </c>
      <c r="I4" s="245" t="s">
        <v>586</v>
      </c>
      <c r="J4" s="246" t="s">
        <v>587</v>
      </c>
      <c r="K4" s="247" t="s">
        <v>588</v>
      </c>
      <c r="L4" s="42" t="s">
        <v>589</v>
      </c>
      <c r="M4" s="42" t="s">
        <v>590</v>
      </c>
      <c r="N4" s="248" t="s">
        <v>591</v>
      </c>
      <c r="O4" s="249" t="s">
        <v>592</v>
      </c>
      <c r="P4" s="43" t="s">
        <v>593</v>
      </c>
      <c r="Q4" s="250" t="s">
        <v>594</v>
      </c>
      <c r="R4" s="251" t="s">
        <v>595</v>
      </c>
      <c r="S4" s="252" t="s">
        <v>596</v>
      </c>
    </row>
    <row r="5" spans="1:19" ht="28.8" x14ac:dyDescent="0.3">
      <c r="A5" s="16">
        <f>+'Avance Cuantitativo Productos'!A6</f>
        <v>1</v>
      </c>
      <c r="B5" s="16" t="str">
        <f>+'Avance Cuantitativo Productos'!B6</f>
        <v>1.</v>
      </c>
      <c r="C5" s="44" t="str">
        <f>+'Avance Cuantitativo Productos'!C6</f>
        <v>1.1.1. Promoción y fortalecimiento de la actividad física para servidoras y servidores públicos del Distrito Capital</v>
      </c>
      <c r="D5" s="44" t="str">
        <f>+'Avance Cuantitativo Productos'!E6</f>
        <v>Gestión Pública </v>
      </c>
      <c r="E5" s="45">
        <f>IF(ISNA('Avance Cuantitativo Productos'!M6)=FALSE,'Avance Cuantitativo Productos'!F6,IF($D$1&gt;YEAR('Avance Cuantitativo Productos'!J6),'Avance Cuantitativo Productos'!F6,IF($D$1&lt;YEAR('Avance Cuantitativo Productos'!J6),0,IF(AND($D$1=YEAR('Avance Cuantitativo Productos'!J6),$D$2="Q1",OR('Avance Cuantitativo Productos'!I6&lt;&gt;"Mensual",'Avance Cuantitativo Productos'!I6&lt;&gt;"Bimestral",'Avance Cuantitativo Productos'!I6&lt;&gt;"Trimestral")),0,IF(AND($D$1=YEAR('Avance Cuantitativo Productos'!J6),$D$2="Q2",OR('Avance Cuantitativo Productos'!I6&lt;&gt;"Mensual",'Avance Cuantitativo Productos'!I6&lt;&gt;"Bimestral",'Avance Cuantitativo Productos'!I6&lt;&gt;"Trimestral",'Avance Cuantitativo Productos'!I6&lt;&gt;"Semestral")),0,IF(AND($D$1=YEAR('Avance Cuantitativo Productos'!J6),$D$2="Q3",OR('Avance Cuantitativo Productos'!I6&lt;&gt;"Mensual",'Avance Cuantitativo Productos'!I6&lt;&gt;"Bimestral",'Avance Cuantitativo Productos'!I6&lt;&gt;"Trimestral",'Avance Cuantitativo Productos'!I6&lt;&gt;"Semestral")),0,IF(AND($D$1=YEAR('Avance Cuantitativo Productos'!J6),$D$2="Q4",OR('Avance Cuantitativo Productos'!I6&lt;&gt;"Mensual",'Avance Cuantitativo Productos'!I6&lt;&gt;"Bimestral",'Avance Cuantitativo Productos'!I6&lt;&gt;"Trimestral",'Avance Cuantitativo Productos'!I6&lt;&gt;"Semestral",'Avance Cuantitativo Productos'!I6&lt;&gt;"Anual")),0,'Avance Cuantitativo Productos'!F6)))))))</f>
        <v>0.02</v>
      </c>
      <c r="F5" s="46" t="e" cm="1">
        <f t="array" aca="1" ref="F5" ca="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No.],Avance_en_Vigencia_Productos[])))</f>
        <v>#NAME?</v>
      </c>
      <c r="G5" s="17" t="e">
        <f ca="1">+IF(AND($D$1=YEAR('Avance Cuantitativo Productos'!J6),'Panel de Control PRODUCTOS'!$D$2="Q1",OR('Avance Cuantitativo Productos'!I6="Mensual",'Avance Cuantitativo Productos'!I6="Bimestral",'Avance Cuantitativo Productos'!I6="Trimestral"),MONTH('Avance Cuantitativo Productos'!J6)&lt;=3,SUM(OFFSET('Avance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Productos'!$N$4:$AS$4,0)+3)))))))=0,"Rojo",IF(F5&gt;=0.75,"Verde",IF(AND(F5&lt;0.75,F5&gt;=0.5),"Amarillo",IF(F5&lt;0.5,"Rojo","ERROR")))))))</f>
        <v>#NAME?</v>
      </c>
      <c r="H5" s="46" t="e" cm="1">
        <f t="array" aca="1" ref="H5" ca="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No.],Avance_Hasta_Vigencia_Productos[])))</f>
        <v>#NAME?</v>
      </c>
      <c r="I5" s="16" t="e">
        <f ca="1">+IF(AND($D$1=YEAR('Avance Cuantitativo Productos'!J6),'Panel de Control PRODUCTOS'!$D$2="Q1",MONTH('Avance Cuantitativo Productos'!J6)&lt;=3,OR('Avance Cuantitativo Productos'!I6="Mensual",'Avance Cuantitativo Productos'!I6="Bimestral",'Avance Cuantitativo Productos'!I6="Trimestral"),SUM(OFFSET('Avance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Productos'!$N$4:$AS$4,0)+3))))))=0),"Rojo",IF(AND(YEAR('Avance Cuantitativo Productos'!J6)&lt;$D$1,ISERROR('Avance Cuantitativo Productos'!M6)=TRUE),"Rojo",IF(AND(YEAR('Avance Cuantitativo Productos'!J6)&gt;$D$1,ISERROR('Avance Cuantitativo Productos'!M6)=TRUE),"Verde",IF(H5&gt;=0.75,"Verde",IF(AND(H5&lt;0.75,H5&gt;=0.5),"Amarillo",IF(H5&lt;0.5,"Rojo")))))))))</f>
        <v>#NAME?</v>
      </c>
      <c r="J5" s="46" t="e" cm="1">
        <f t="array" aca="1" ref="J5" ca="1">+IF(AND(_xlfn.NUMBERVALUE($D$1)&gt;=YEAR('Avance Cuantitativo Productos'!J6),ISERROR('Avance Cuantitativo Productos'!M6)=TRUE,(OR(AND($D$2="Q1",MONTH('Avance Cuantitativo Productos'!J6)&lt;=3,OR('Avance Cuantitativo Productos'!I6="Mensual",'Avance Cuantitativo Productos'!I6="Bimestral",'Avance Cuantitativo Productos'!I6="Trimestral")),AND($D$2="Q2",MONTH('Avance Cuantitativo Productos'!J6)&lt;=6,OR('Avance Cuantitativo Productos'!I6="Mensual",'Avance Cuantitativo Productos'!I6="Bimestral",'Avance Cuantitativo Productos'!I6="Trimestral",'Avance Cuantitativo Productos'!I6="Semestral")),AND($D$2="Q3",MONTH('Avance Cuantitativo Productos'!J6)&lt;=9,OR('Avance Cuantitativo Productos'!I6="Mensual",'Avance Cuantitativo Productos'!I6="Bimestral",'Avance Cuantitativo Productos'!I6="Trimestral",'Avance Cuantitativo Productos'!I6="Semestral")),AND($D$2="Q4",MONTH('Avance Cuantitativo Productos'!J6)&lt;=12,OR('Avance Cuantitativo Productos'!I6="Mensual",'Avance Cuantitativo Productos'!I6="Bimestral",'Avance Cuantitativo Productos'!I6="Trimestral",'Avance Cuantitativo Productos'!I6="Semestral",'Avance Cuantitativo Productos'!I6="Anual"))))),0,_xlfn.XLOOKUP($D$1,TRANSPOSE(Anios_Reporte[Año de Reporte]),_xlfn.XLOOKUP(Panel_Control[[#This Row],[Producto '#]],Info_Productos_Cuantitativo[Producto No.],Avance_Acumulado_Productos[])))</f>
        <v>#NAME?</v>
      </c>
      <c r="K5" s="17" t="e">
        <f ca="1">+IF(AND($D$1=YEAR('Avance Cuantitativo Productos'!J6),'Panel de Control PRODUCTOS'!$D$2="Q1",MONTH('Avance Cuantitativo Productos'!J6)&lt;=3,OR('Avance Cuantitativo Productos'!I6="Mensual",'Avance Cuantitativo Productos'!I6="Bimestral",'Avance Cuantitativo Productos'!I6="Trimestral"),SUM(OFFSET('Avance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PRODUCTOS'!$D$2="Q2",MONTH('Avance Cuantitativo Productos'!J6)&lt;=6,OR('Avance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PRODUCTOS'!$D$2="Q3",MONTH('Avance Cuantitativo Productos'!J6)&lt;=9,OR('Avance Cuantitativo Productos'!I6="Mensual",'Avance Cuantitativo Productos'!I6="Bimestral",'Avance Cuantitativo Productos'!I6="Trimestral",'Avance Cuantitativo Productos'!I6="Semestral"),SUM(OFFSET('Avance Cuantitativo Productos'!N6,0,0,1,IF($D$2="Q1",_xlfn.XMATCH($D$1,'Avance Cuantitativo Productos'!$N$4:$AS$4,0),IF($D$2="Q2",_xlfn.XMATCH($D$1,'Avance Cuantitativo Productos'!$N$4:$AS$4,0)+1,IF($D$2="Q3",_xlfn.XMATCH($D$1,'Avance Cuantitativo Productos'!$N$4:$AS$4,0)+2,IF($D$2="Q4",_xlfn.XMATCH($D$1,'Avance Cuantitativo Productos'!$N$4:$AS$4,0)+3))))))=0),"Rojo",IF(AND($D$1=YEAR('Avance Cuantitativo Productos'!J6),'Panel de Control PRODUCTOS'!$D$2="Q4",MONTH('Avance Cuantitativo Productos'!J6)&lt;=12,OR('Avance Cuantitativo Productos'!I6="Mensual",'Avance Cuantitativo Productos'!I6="Bimestral",'Avance Cuantitativo Productos'!I6="Trimestral",'Avance Cuantitativo Productos'!I6="Semestral",'Avance Cuantitativo Productos'!I6="Anual"),SUM(OFFSET('Avance Cuantitativo Productos'!N6,0,0,1,IF($D$2="Q1",_xlfn.XMATCH($D$1,'Avance Cuantitativo Productos'!$N$4:$AS$4,0),IF($D$2="Q2",_xlfn.XMATCH($D$1,'Avance Cuantitativo Productos'!$N$4:$AS$4,0)+1,IF($D$2="Q3",_xlfn.XMATCH($D$1,'Avance Cuantitativo Productos'!$N$4:$AS$4,0)+2,IF($D$2="Q4",_xlfn.XMATCH($D$1,'Avance Cuantitativo Productos'!$N$4:$AS$4,0)+3))))))=0),"Rojo",IF(AND(YEAR('Avance Cuantitativo Productos'!J6)&lt;$D$1,ISERROR('Avance Cuantitativo Productos'!M6)=TRUE),"Rojo",IF(AND(YEAR('Avance Cuantitativo Productos'!J6)&gt;$D$1,ISERROR('Avance Cuantitativo Productos'!M6)=TRUE),"Verde",IF(J5&gt;=0.75,"Verde",IF(AND(J5&lt;0.75,J5&gt;=0.5),"Amarillo",IF(J5&lt;0.5,"Rojo")))))))))</f>
        <v>#NAME?</v>
      </c>
      <c r="L5" s="46" t="e">
        <f t="shared" ref="L5:L34" ca="1" si="0">+IF(F5="","",IF(F5&gt;1,1,IF(F5&lt;0,0,F5)))</f>
        <v>#NAME?</v>
      </c>
      <c r="M5" s="26" t="e">
        <f ca="1">+IF(Panel_Control[[#This Row],[PAV. Ajustado (100%)]]="","",Panel_Control[[#This Row],[PAV. Ajustado (100%)]]*Panel_Control[[#This Row],[Ponderación relativa del Producto (%)]])</f>
        <v>#NAME?</v>
      </c>
      <c r="N5" s="46" t="e">
        <f t="shared" ref="N5:N34" ca="1" si="1">+IF(H5="","",IF(H5&gt;1,1,IF(H5&lt;0,0,H5)))</f>
        <v>#NAME?</v>
      </c>
      <c r="O5" s="26" t="e">
        <f ca="1">+IF(Panel_Control[[#This Row],[Porcentaje de Avance Hasta la Vigencia (100%)]]="","",Panel_Control[[#This Row],[Porcentaje de Avance Hasta la Vigencia (100%)]]*Panel_Control[[#This Row],[Ponderación relativa del Producto (%)]])</f>
        <v>#NAME?</v>
      </c>
      <c r="P5" s="46" t="e">
        <f t="shared" ref="P5:P34" ca="1" si="2">+IF(J5="","",IF(J5&gt;1,1,IF(J5&lt;0,0,J5)))</f>
        <v>#NAME?</v>
      </c>
      <c r="Q5" s="26" t="e">
        <f ca="1">+IF(Panel_Control[[#This Row],[PAA. (100%)]]="","",Panel_Control[[#This Row],[PAA. (100%)]]*Panel_Control[[#This Row],[Ponderación relativa del Producto (%)]])</f>
        <v>#NAME?</v>
      </c>
      <c r="R5" s="47" cm="1">
        <f t="array" ref="R5">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0.5</v>
      </c>
      <c r="S5" s="26">
        <f>+Panel_Control[[#This Row],[Trayectoria Acumulada (Avance ideal)]]*Panel_Control[[#This Row],[Ponderación relativa del Producto (%)]]</f>
        <v>0.01</v>
      </c>
    </row>
    <row r="6" spans="1:19" ht="28.8" x14ac:dyDescent="0.3">
      <c r="A6" s="16">
        <f>+'Avance Cuantitativo Productos'!A7</f>
        <v>2</v>
      </c>
      <c r="B6" s="16" t="str">
        <f>+'Avance Cuantitativo Productos'!B7</f>
        <v>1.</v>
      </c>
      <c r="C6" s="44" t="str">
        <f>+'Avance Cuantitativo Productos'!C7</f>
        <v xml:space="preserve">1.1.2. Medición de factores culturales asociados a las prácticas recreativas y deportivas en la ciudad                                                         </v>
      </c>
      <c r="D6" s="44" t="str">
        <f>+'Avance Cuantitativo Productos'!E7</f>
        <v xml:space="preserve">Cultura, Recreación y Deporte </v>
      </c>
      <c r="E6" s="45">
        <f>IF(ISNA('Avance Cuantitativo Productos'!M7)=FALSE,'Avance Cuantitativo Productos'!F7,IF($D$1&gt;YEAR('Avance Cuantitativo Productos'!J7),'Avance Cuantitativo Productos'!F7,IF($D$1&lt;YEAR('Avance Cuantitativo Productos'!J7),0,IF(AND($D$1=YEAR('Avance Cuantitativo Productos'!J7),$D$2="Q1",OR('Avance Cuantitativo Productos'!I7&lt;&gt;"Mensual",'Avance Cuantitativo Productos'!I7&lt;&gt;"Bimestral",'Avance Cuantitativo Productos'!I7&lt;&gt;"Trimestral")),0,IF(AND($D$1=YEAR('Avance Cuantitativo Productos'!J7),$D$2="Q2",OR('Avance Cuantitativo Productos'!I7&lt;&gt;"Mensual",'Avance Cuantitativo Productos'!I7&lt;&gt;"Bimestral",'Avance Cuantitativo Productos'!I7&lt;&gt;"Trimestral",'Avance Cuantitativo Productos'!I7&lt;&gt;"Semestral")),0,IF(AND($D$1=YEAR('Avance Cuantitativo Productos'!J7),$D$2="Q3",OR('Avance Cuantitativo Productos'!I7&lt;&gt;"Mensual",'Avance Cuantitativo Productos'!I7&lt;&gt;"Bimestral",'Avance Cuantitativo Productos'!I7&lt;&gt;"Trimestral",'Avance Cuantitativo Productos'!I7&lt;&gt;"Semestral")),0,IF(AND($D$1=YEAR('Avance Cuantitativo Productos'!J7),$D$2="Q4",OR('Avance Cuantitativo Productos'!I7&lt;&gt;"Mensual",'Avance Cuantitativo Productos'!I7&lt;&gt;"Bimestral",'Avance Cuantitativo Productos'!I7&lt;&gt;"Trimestral",'Avance Cuantitativo Productos'!I7&lt;&gt;"Semestral",'Avance Cuantitativo Productos'!I7&lt;&gt;"Anual")),0,'Avance Cuantitativo Productos'!F7)))))))</f>
        <v>0.01</v>
      </c>
      <c r="F6" s="46" t="e" cm="1">
        <f t="array" aca="1" ref="F6" ca="1">+IF(AND(_xlfn.NUMBERVALUE($D$1)&gt;=YEAR('Avance Cuantitativo Productos'!J7),ISERROR('Avance Cuantitativo Productos'!M7)=TRUE,(OR(AND($D$2="Q1",MONTH('Avance Cuantitativo Productos'!J7)&lt;=3,OR('Avance Cuantitativo Productos'!I7="Mensual",'Avance Cuantitativo Productos'!I7="Bimestral",'Avance Cuantitativo Productos'!I7="Trimestral")),AND($D$2="Q2",MONTH('Avance Cuantitativo Productos'!J7)&lt;=6,OR('Avance Cuantitativo Productos'!I7="Mensual",'Avance Cuantitativo Productos'!I7="Bimestral",'Avance Cuantitativo Productos'!I7="Trimestral",'Avance Cuantitativo Productos'!I7="Semestral")),AND($D$2="Q3",MONTH('Avance Cuantitativo Productos'!J7)&lt;=9,OR('Avance Cuantitativo Productos'!I7="Mensual",'Avance Cuantitativo Productos'!I7="Bimestral",'Avance Cuantitativo Productos'!I7="Trimestral",'Avance Cuantitativo Productos'!I7="Semestral")),AND($D$2="Q4",MONTH('Avance Cuantitativo Productos'!J7)&lt;=12,OR('Avance Cuantitativo Productos'!I7="Mensual",'Avance Cuantitativo Productos'!I7="Bimestral",'Avance Cuantitativo Productos'!I7="Trimestral",'Avance Cuantitativo Productos'!I7="Semestral",'Avance Cuantitativo Productos'!I7="Anual"))))),0,_xlfn.XLOOKUP($D$1,TRANSPOSE(Anios_Reporte[Año de Reporte]),_xlfn.XLOOKUP(Panel_Control[[#This Row],[Producto '#]],Info_Productos_Cuantitativo[Producto No.],Avance_en_Vigencia_Productos[])))</f>
        <v>#NAME?</v>
      </c>
      <c r="G6" s="17" t="e">
        <f ca="1">+IF(AND($D$1=YEAR('Avance Cuantitativo Productos'!J7),'Panel de Control PRODUCTOS'!$D$2="Q1",OR('Avance Cuantitativo Productos'!I7="Mensual",'Avance Cuantitativo Productos'!I7="Bimestral",'Avance Cuantitativo Productos'!I7="Trimestral"),MONTH('Avance Cuantitativo Productos'!J7)&lt;=3,SUM(OFFSET('Avance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PRODUCTOS'!$D$2="Q2",MONTH('Avance Cuantitativo Productos'!J7)&lt;=6,OR('Avance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PRODUCTOS'!$D$2="Q3",MONTH('Avance Cuantitativo Productos'!J7)&lt;=9,OR('Avance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PRODUCTOS'!$D$2="Q4",MONTH('Avance Cuantitativo Productos'!J7)&lt;=12,OR('Avance Cuantitativo Productos'!I7="Mensual",'Avance Cuantitativo Productos'!I7="Bimestral",'Avance Cuantitativo Productos'!I7="Trimestral",'Avance Cuantitativo Productos'!I7="Semestral",'Avance Cuantitativo Productos'!I7="Anual"),SUM(OFFSET('Avance Cuantitativo Productos'!N7,0,0,1,IF($D$2="Q1",_xlfn.XMATCH($D$1,'Avance Cuantitativo Productos'!$N$4:$AS$4,0),IF($D$2="Q2",_xlfn.XMATCH($D$1,'Avance Cuantitativo Productos'!$N$4:$AS$4,0)+1,IF($D$2="Q3",_xlfn.XMATCH($D$1,'Avance Cuantitativo Productos'!$N$4:$AS$4,0)+2,IF($D$2="Q4",_xlfn.XMATCH($D$1,'Avance Cuantitativo Productos'!$N$4:$AS$4,0)+3)))))))=0,"Rojo",IF(F6&gt;=0.75,"Verde",IF(AND(F6&lt;0.75,F6&gt;=0.5),"Amarillo",IF(F6&lt;0.5,"Rojo","ERROR")))))))</f>
        <v>#NAME?</v>
      </c>
      <c r="H6" s="46" t="e" cm="1">
        <f t="array" aca="1" ref="H6" ca="1">+IF(AND(_xlfn.NUMBERVALUE($D$1)&gt;=YEAR('Avance Cuantitativo Productos'!J7),ISERROR('Avance Cuantitativo Productos'!M7)=TRUE,(OR(AND($D$2="Q1",MONTH('Avance Cuantitativo Productos'!J7)&lt;=3,OR('Avance Cuantitativo Productos'!I7="Mensual",'Avance Cuantitativo Productos'!I7="Bimestral",'Avance Cuantitativo Productos'!I7="Trimestral")),AND($D$2="Q2",MONTH('Avance Cuantitativo Productos'!J7)&lt;=6,OR('Avance Cuantitativo Productos'!I7="Mensual",'Avance Cuantitativo Productos'!I7="Bimestral",'Avance Cuantitativo Productos'!I7="Trimestral",'Avance Cuantitativo Productos'!I7="Semestral")),AND($D$2="Q3",MONTH('Avance Cuantitativo Productos'!J7)&lt;=9,OR('Avance Cuantitativo Productos'!I7="Mensual",'Avance Cuantitativo Productos'!I7="Bimestral",'Avance Cuantitativo Productos'!I7="Trimestral",'Avance Cuantitativo Productos'!I7="Semestral")),AND($D$2="Q4",MONTH('Avance Cuantitativo Productos'!J7)&lt;=12,OR('Avance Cuantitativo Productos'!I7="Mensual",'Avance Cuantitativo Productos'!I7="Bimestral",'Avance Cuantitativo Productos'!I7="Trimestral",'Avance Cuantitativo Productos'!I7="Semestral",'Avance Cuantitativo Productos'!I7="Anual"))))),0,_xlfn.XLOOKUP($D$1,TRANSPOSE(Anios_Reporte[Año de Reporte]),_xlfn.XLOOKUP(Panel_Control[[#This Row],[Producto '#]],Info_Productos_Cuantitativo[Producto No.],Avance_Hasta_Vigencia_Productos[])))</f>
        <v>#NAME?</v>
      </c>
      <c r="I6" s="16" t="e">
        <f ca="1">+IF(AND($D$1=YEAR('Avance Cuantitativo Productos'!J7),'Panel de Control PRODUCTOS'!$D$2="Q1",MONTH('Avance Cuantitativo Productos'!J7)&lt;=3,OR('Avance Cuantitativo Productos'!I7="Mensual",'Avance Cuantitativo Productos'!I7="Bimestral",'Avance Cuantitativo Productos'!I7="Trimestral"),SUM(OFFSET('Avance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PRODUCTOS'!$D$2="Q2",MONTH('Avance Cuantitativo Productos'!J7)&lt;=6,OR('Avance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PRODUCTOS'!$D$2="Q3",MONTH('Avance Cuantitativo Productos'!J7)&lt;=9,OR('Avance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PRODUCTOS'!$D$2="Q4",MONTH('Avance Cuantitativo Productos'!J7)&lt;=12,OR('Avance Cuantitativo Productos'!I7="Mensual",'Avance Cuantitativo Productos'!I7="Bimestral",'Avance Cuantitativo Productos'!I7="Trimestral",'Avance Cuantitativo Productos'!I7="Semestral",'Avance Cuantitativo Productos'!I7="Anual"),SUM(OFFSET('Avance Cuantitativo Productos'!N7,0,0,1,IF($D$2="Q1",_xlfn.XMATCH($D$1,'Avance Cuantitativo Productos'!$N$4:$AS$4,0),IF($D$2="Q2",_xlfn.XMATCH($D$1,'Avance Cuantitativo Productos'!$N$4:$AS$4,0)+1,IF($D$2="Q3",_xlfn.XMATCH($D$1,'Avance Cuantitativo Productos'!$N$4:$AS$4,0)+2,IF($D$2="Q4",_xlfn.XMATCH($D$1,'Avance Cuantitativo Productos'!$N$4:$AS$4,0)+3))))))=0),"Rojo",IF(AND(YEAR('Avance Cuantitativo Productos'!J7)&lt;$D$1,ISERROR('Avance Cuantitativo Productos'!M7)=TRUE),"Rojo",IF(AND(YEAR('Avance Cuantitativo Productos'!J7)&gt;$D$1,ISERROR('Avance Cuantitativo Productos'!M7)=TRUE),"Verde",IF(H6&gt;=0.75,"Verde",IF(AND(H6&lt;0.75,H6&gt;=0.5),"Amarillo",IF(H6&lt;0.5,"Rojo")))))))))</f>
        <v>#NAME?</v>
      </c>
      <c r="J6" s="46" t="e" cm="1">
        <f t="array" aca="1" ref="J6" ca="1">+IF(AND(_xlfn.NUMBERVALUE($D$1)&gt;=YEAR('Avance Cuantitativo Productos'!J7),ISERROR('Avance Cuantitativo Productos'!M7)=TRUE,(OR(AND($D$2="Q1",MONTH('Avance Cuantitativo Productos'!J7)&lt;=3,OR('Avance Cuantitativo Productos'!I7="Mensual",'Avance Cuantitativo Productos'!I7="Bimestral",'Avance Cuantitativo Productos'!I7="Trimestral")),AND($D$2="Q2",MONTH('Avance Cuantitativo Productos'!J7)&lt;=6,OR('Avance Cuantitativo Productos'!I7="Mensual",'Avance Cuantitativo Productos'!I7="Bimestral",'Avance Cuantitativo Productos'!I7="Trimestral",'Avance Cuantitativo Productos'!I7="Semestral")),AND($D$2="Q3",MONTH('Avance Cuantitativo Productos'!J7)&lt;=9,OR('Avance Cuantitativo Productos'!I7="Mensual",'Avance Cuantitativo Productos'!I7="Bimestral",'Avance Cuantitativo Productos'!I7="Trimestral",'Avance Cuantitativo Productos'!I7="Semestral")),AND($D$2="Q4",MONTH('Avance Cuantitativo Productos'!J7)&lt;=12,OR('Avance Cuantitativo Productos'!I7="Mensual",'Avance Cuantitativo Productos'!I7="Bimestral",'Avance Cuantitativo Productos'!I7="Trimestral",'Avance Cuantitativo Productos'!I7="Semestral",'Avance Cuantitativo Productos'!I7="Anual"))))),0,_xlfn.XLOOKUP($D$1,TRANSPOSE(Anios_Reporte[Año de Reporte]),_xlfn.XLOOKUP(Panel_Control[[#This Row],[Producto '#]],Info_Productos_Cuantitativo[Producto No.],Avance_Acumulado_Productos[])))</f>
        <v>#NAME?</v>
      </c>
      <c r="K6" s="17" t="e">
        <f ca="1">+IF(AND($D$1=YEAR('Avance Cuantitativo Productos'!J7),'Panel de Control PRODUCTOS'!$D$2="Q1",MONTH('Avance Cuantitativo Productos'!J7)&lt;=3,OR('Avance Cuantitativo Productos'!I7="Mensual",'Avance Cuantitativo Productos'!I7="Bimestral",'Avance Cuantitativo Productos'!I7="Trimestral"),SUM(OFFSET('Avance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PRODUCTOS'!$D$2="Q2",MONTH('Avance Cuantitativo Productos'!J7)&lt;=6,OR('Avance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PRODUCTOS'!$D$2="Q3",MONTH('Avance Cuantitativo Productos'!J7)&lt;=9,OR('Avance Cuantitativo Productos'!I7="Mensual",'Avance Cuantitativo Productos'!I7="Bimestral",'Avance Cuantitativo Productos'!I7="Trimestral",'Avance Cuantitativo Productos'!I7="Semestral"),SUM(OFFSET('Avance Cuantitativo Productos'!N7,0,0,1,IF($D$2="Q1",_xlfn.XMATCH($D$1,'Avance Cuantitativo Productos'!$N$4:$AS$4,0),IF($D$2="Q2",_xlfn.XMATCH($D$1,'Avance Cuantitativo Productos'!$N$4:$AS$4,0)+1,IF($D$2="Q3",_xlfn.XMATCH($D$1,'Avance Cuantitativo Productos'!$N$4:$AS$4,0)+2,IF($D$2="Q4",_xlfn.XMATCH($D$1,'Avance Cuantitativo Productos'!$N$4:$AS$4,0)+3))))))=0),"Rojo",IF(AND($D$1=YEAR('Avance Cuantitativo Productos'!J7),'Panel de Control PRODUCTOS'!$D$2="Q4",MONTH('Avance Cuantitativo Productos'!J7)&lt;=12,OR('Avance Cuantitativo Productos'!I7="Mensual",'Avance Cuantitativo Productos'!I7="Bimestral",'Avance Cuantitativo Productos'!I7="Trimestral",'Avance Cuantitativo Productos'!I7="Semestral",'Avance Cuantitativo Productos'!I7="Anual"),SUM(OFFSET('Avance Cuantitativo Productos'!N7,0,0,1,IF($D$2="Q1",_xlfn.XMATCH($D$1,'Avance Cuantitativo Productos'!$N$4:$AS$4,0),IF($D$2="Q2",_xlfn.XMATCH($D$1,'Avance Cuantitativo Productos'!$N$4:$AS$4,0)+1,IF($D$2="Q3",_xlfn.XMATCH($D$1,'Avance Cuantitativo Productos'!$N$4:$AS$4,0)+2,IF($D$2="Q4",_xlfn.XMATCH($D$1,'Avance Cuantitativo Productos'!$N$4:$AS$4,0)+3))))))=0),"Rojo",IF(AND(YEAR('Avance Cuantitativo Productos'!J7)&lt;$D$1,ISERROR('Avance Cuantitativo Productos'!M7)=TRUE),"Rojo",IF(AND(YEAR('Avance Cuantitativo Productos'!J7)&gt;$D$1,ISERROR('Avance Cuantitativo Productos'!M7)=TRUE),"Verde",IF(J6&gt;=0.75,"Verde",IF(AND(J6&lt;0.75,J6&gt;=0.5),"Amarillo",IF(J6&lt;0.5,"Rojo")))))))))</f>
        <v>#NAME?</v>
      </c>
      <c r="L6" s="46" t="e">
        <f t="shared" ca="1" si="0"/>
        <v>#NAME?</v>
      </c>
      <c r="M6" s="26" t="e">
        <f ca="1">+IF(Panel_Control[[#This Row],[PAV. Ajustado (100%)]]="","",Panel_Control[[#This Row],[PAV. Ajustado (100%)]]*Panel_Control[[#This Row],[Ponderación relativa del Producto (%)]])</f>
        <v>#NAME?</v>
      </c>
      <c r="N6" s="46" t="e">
        <f t="shared" ca="1" si="1"/>
        <v>#NAME?</v>
      </c>
      <c r="O6" s="26" t="e">
        <f ca="1">+IF(Panel_Control[[#This Row],[Porcentaje de Avance Hasta la Vigencia (100%)]]="","",Panel_Control[[#This Row],[Porcentaje de Avance Hasta la Vigencia (100%)]]*Panel_Control[[#This Row],[Ponderación relativa del Producto (%)]])</f>
        <v>#NAME?</v>
      </c>
      <c r="P6" s="46" t="e">
        <f t="shared" ca="1" si="2"/>
        <v>#NAME?</v>
      </c>
      <c r="Q6" s="26" t="e">
        <f ca="1">+IF(Panel_Control[[#This Row],[PAA. (100%)]]="","",Panel_Control[[#This Row],[PAA. (100%)]]*Panel_Control[[#This Row],[Ponderación relativa del Producto (%)]])</f>
        <v>#NAME?</v>
      </c>
      <c r="R6" s="47" cm="1">
        <f t="array" ref="R6">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0.27272727272727271</v>
      </c>
      <c r="S6" s="26">
        <f>+Panel_Control[[#This Row],[Trayectoria Acumulada (Avance ideal)]]*Panel_Control[[#This Row],[Ponderación relativa del Producto (%)]]</f>
        <v>2.7272727272727271E-3</v>
      </c>
    </row>
    <row r="7" spans="1:19" ht="43.2" x14ac:dyDescent="0.3">
      <c r="A7" s="16">
        <f>+'Avance Cuantitativo Productos'!A8</f>
        <v>3</v>
      </c>
      <c r="B7" s="16" t="str">
        <f>+'Avance Cuantitativo Productos'!B8</f>
        <v>1.</v>
      </c>
      <c r="C7" s="44" t="str">
        <f>+'Avance Cuantitativo Productos'!C8</f>
        <v>1.1.3. Programas deportivos, recreativos y de actividad física en la atención de las diferentes poblaciones, en los espacios priorizados  para el desarrollo social integral.</v>
      </c>
      <c r="D7" s="44" t="str">
        <f>+'Avance Cuantitativo Productos'!E8</f>
        <v>Integración Social</v>
      </c>
      <c r="E7" s="45">
        <f>IF(ISNA('Avance Cuantitativo Productos'!M8)=FALSE,'Avance Cuantitativo Productos'!F8,IF($D$1&gt;YEAR('Avance Cuantitativo Productos'!J8),'Avance Cuantitativo Productos'!F8,IF($D$1&lt;YEAR('Avance Cuantitativo Productos'!J8),0,IF(AND($D$1=YEAR('Avance Cuantitativo Productos'!J8),$D$2="Q1",OR('Avance Cuantitativo Productos'!I8&lt;&gt;"Mensual",'Avance Cuantitativo Productos'!I8&lt;&gt;"Bimestral",'Avance Cuantitativo Productos'!I8&lt;&gt;"Trimestral")),0,IF(AND($D$1=YEAR('Avance Cuantitativo Productos'!J8),$D$2="Q2",OR('Avance Cuantitativo Productos'!I8&lt;&gt;"Mensual",'Avance Cuantitativo Productos'!I8&lt;&gt;"Bimestral",'Avance Cuantitativo Productos'!I8&lt;&gt;"Trimestral",'Avance Cuantitativo Productos'!I8&lt;&gt;"Semestral")),0,IF(AND($D$1=YEAR('Avance Cuantitativo Productos'!J8),$D$2="Q3",OR('Avance Cuantitativo Productos'!I8&lt;&gt;"Mensual",'Avance Cuantitativo Productos'!I8&lt;&gt;"Bimestral",'Avance Cuantitativo Productos'!I8&lt;&gt;"Trimestral",'Avance Cuantitativo Productos'!I8&lt;&gt;"Semestral")),0,IF(AND($D$1=YEAR('Avance Cuantitativo Productos'!J8),$D$2="Q4",OR('Avance Cuantitativo Productos'!I8&lt;&gt;"Mensual",'Avance Cuantitativo Productos'!I8&lt;&gt;"Bimestral",'Avance Cuantitativo Productos'!I8&lt;&gt;"Trimestral",'Avance Cuantitativo Productos'!I8&lt;&gt;"Semestral",'Avance Cuantitativo Productos'!I8&lt;&gt;"Anual")),0,'Avance Cuantitativo Productos'!F8)))))))</f>
        <v>0.01</v>
      </c>
      <c r="F7" s="46" t="e" cm="1">
        <f t="array" aca="1" ref="F7" ca="1">+IF(AND(_xlfn.NUMBERVALUE($D$1)&gt;=YEAR('Avance Cuantitativo Productos'!J8),ISERROR('Avance Cuantitativo Productos'!M8)=TRUE,(OR(AND($D$2="Q1",MONTH('Avance Cuantitativo Productos'!J8)&lt;=3,OR('Avance Cuantitativo Productos'!I8="Mensual",'Avance Cuantitativo Productos'!I8="Bimestral",'Avance Cuantitativo Productos'!I8="Trimestral")),AND($D$2="Q2",MONTH('Avance Cuantitativo Productos'!J8)&lt;=6,OR('Avance Cuantitativo Productos'!I8="Mensual",'Avance Cuantitativo Productos'!I8="Bimestral",'Avance Cuantitativo Productos'!I8="Trimestral",'Avance Cuantitativo Productos'!I8="Semestral")),AND($D$2="Q3",MONTH('Avance Cuantitativo Productos'!J8)&lt;=9,OR('Avance Cuantitativo Productos'!I8="Mensual",'Avance Cuantitativo Productos'!I8="Bimestral",'Avance Cuantitativo Productos'!I8="Trimestral",'Avance Cuantitativo Productos'!I8="Semestral")),AND($D$2="Q4",MONTH('Avance Cuantitativo Productos'!J8)&lt;=12,OR('Avance Cuantitativo Productos'!I8="Mensual",'Avance Cuantitativo Productos'!I8="Bimestral",'Avance Cuantitativo Productos'!I8="Trimestral",'Avance Cuantitativo Productos'!I8="Semestral",'Avance Cuantitativo Productos'!I8="Anual"))))),0,_xlfn.XLOOKUP($D$1,TRANSPOSE(Anios_Reporte[Año de Reporte]),_xlfn.XLOOKUP(Panel_Control[[#This Row],[Producto '#]],Info_Productos_Cuantitativo[Producto No.],Avance_en_Vigencia_Productos[])))</f>
        <v>#NAME?</v>
      </c>
      <c r="G7" s="17" t="e">
        <f ca="1">+IF(AND($D$1=YEAR('Avance Cuantitativo Productos'!J8),'Panel de Control PRODUCTOS'!$D$2="Q1",OR('Avance Cuantitativo Productos'!I8="Mensual",'Avance Cuantitativo Productos'!I8="Bimestral",'Avance Cuantitativo Productos'!I8="Trimestral"),MONTH('Avance Cuantitativo Productos'!J8)&lt;=3,SUM(OFFSET('Avance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PRODUCTOS'!$D$2="Q2",MONTH('Avance Cuantitativo Productos'!J8)&lt;=6,OR('Avance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PRODUCTOS'!$D$2="Q3",MONTH('Avance Cuantitativo Productos'!J8)&lt;=9,OR('Avance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PRODUCTOS'!$D$2="Q4",MONTH('Avance Cuantitativo Productos'!J8)&lt;=12,OR('Avance Cuantitativo Productos'!I8="Mensual",'Avance Cuantitativo Productos'!I8="Bimestral",'Avance Cuantitativo Productos'!I8="Trimestral",'Avance Cuantitativo Productos'!I8="Semestral",'Avance Cuantitativo Productos'!I8="Anual"),SUM(OFFSET('Avance Cuantitativo Productos'!N8,0,0,1,IF($D$2="Q1",_xlfn.XMATCH($D$1,'Avance Cuantitativo Productos'!$N$4:$AS$4,0),IF($D$2="Q2",_xlfn.XMATCH($D$1,'Avance Cuantitativo Productos'!$N$4:$AS$4,0)+1,IF($D$2="Q3",_xlfn.XMATCH($D$1,'Avance Cuantitativo Productos'!$N$4:$AS$4,0)+2,IF($D$2="Q4",_xlfn.XMATCH($D$1,'Avance Cuantitativo Productos'!$N$4:$AS$4,0)+3)))))))=0,"Rojo",IF(F7&gt;=0.75,"Verde",IF(AND(F7&lt;0.75,F7&gt;=0.5),"Amarillo",IF(F7&lt;0.5,"Rojo","ERROR")))))))</f>
        <v>#NAME?</v>
      </c>
      <c r="H7" s="46" t="e" cm="1">
        <f t="array" aca="1" ref="H7" ca="1">+IF(AND(_xlfn.NUMBERVALUE($D$1)&gt;=YEAR('Avance Cuantitativo Productos'!J8),ISERROR('Avance Cuantitativo Productos'!M8)=TRUE,(OR(AND($D$2="Q1",MONTH('Avance Cuantitativo Productos'!J8)&lt;=3,OR('Avance Cuantitativo Productos'!I8="Mensual",'Avance Cuantitativo Productos'!I8="Bimestral",'Avance Cuantitativo Productos'!I8="Trimestral")),AND($D$2="Q2",MONTH('Avance Cuantitativo Productos'!J8)&lt;=6,OR('Avance Cuantitativo Productos'!I8="Mensual",'Avance Cuantitativo Productos'!I8="Bimestral",'Avance Cuantitativo Productos'!I8="Trimestral",'Avance Cuantitativo Productos'!I8="Semestral")),AND($D$2="Q3",MONTH('Avance Cuantitativo Productos'!J8)&lt;=9,OR('Avance Cuantitativo Productos'!I8="Mensual",'Avance Cuantitativo Productos'!I8="Bimestral",'Avance Cuantitativo Productos'!I8="Trimestral",'Avance Cuantitativo Productos'!I8="Semestral")),AND($D$2="Q4",MONTH('Avance Cuantitativo Productos'!J8)&lt;=12,OR('Avance Cuantitativo Productos'!I8="Mensual",'Avance Cuantitativo Productos'!I8="Bimestral",'Avance Cuantitativo Productos'!I8="Trimestral",'Avance Cuantitativo Productos'!I8="Semestral",'Avance Cuantitativo Productos'!I8="Anual"))))),0,_xlfn.XLOOKUP($D$1,TRANSPOSE(Anios_Reporte[Año de Reporte]),_xlfn.XLOOKUP(Panel_Control[[#This Row],[Producto '#]],Info_Productos_Cuantitativo[Producto No.],Avance_Hasta_Vigencia_Productos[])))</f>
        <v>#NAME?</v>
      </c>
      <c r="I7" s="16" t="e">
        <f ca="1">+IF(AND($D$1=YEAR('Avance Cuantitativo Productos'!J8),'Panel de Control PRODUCTOS'!$D$2="Q1",MONTH('Avance Cuantitativo Productos'!J8)&lt;=3,OR('Avance Cuantitativo Productos'!I8="Mensual",'Avance Cuantitativo Productos'!I8="Bimestral",'Avance Cuantitativo Productos'!I8="Trimestral"),SUM(OFFSET('Avance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PRODUCTOS'!$D$2="Q2",MONTH('Avance Cuantitativo Productos'!J8)&lt;=6,OR('Avance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PRODUCTOS'!$D$2="Q3",MONTH('Avance Cuantitativo Productos'!J8)&lt;=9,OR('Avance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PRODUCTOS'!$D$2="Q4",MONTH('Avance Cuantitativo Productos'!J8)&lt;=12,OR('Avance Cuantitativo Productos'!I8="Mensual",'Avance Cuantitativo Productos'!I8="Bimestral",'Avance Cuantitativo Productos'!I8="Trimestral",'Avance Cuantitativo Productos'!I8="Semestral",'Avance Cuantitativo Productos'!I8="Anual"),SUM(OFFSET('Avance Cuantitativo Productos'!N8,0,0,1,IF($D$2="Q1",_xlfn.XMATCH($D$1,'Avance Cuantitativo Productos'!$N$4:$AS$4,0),IF($D$2="Q2",_xlfn.XMATCH($D$1,'Avance Cuantitativo Productos'!$N$4:$AS$4,0)+1,IF($D$2="Q3",_xlfn.XMATCH($D$1,'Avance Cuantitativo Productos'!$N$4:$AS$4,0)+2,IF($D$2="Q4",_xlfn.XMATCH($D$1,'Avance Cuantitativo Productos'!$N$4:$AS$4,0)+3))))))=0),"Rojo",IF(AND(YEAR('Avance Cuantitativo Productos'!J8)&lt;$D$1,ISERROR('Avance Cuantitativo Productos'!M8)=TRUE),"Rojo",IF(AND(YEAR('Avance Cuantitativo Productos'!J8)&gt;$D$1,ISERROR('Avance Cuantitativo Productos'!M8)=TRUE),"Verde",IF(H7&gt;=0.75,"Verde",IF(AND(H7&lt;0.75,H7&gt;=0.5),"Amarillo",IF(H7&lt;0.5,"Rojo")))))))))</f>
        <v>#NAME?</v>
      </c>
      <c r="J7" s="46" t="e" cm="1">
        <f t="array" aca="1" ref="J7" ca="1">+IF(AND(_xlfn.NUMBERVALUE($D$1)&gt;=YEAR('Avance Cuantitativo Productos'!J8),ISERROR('Avance Cuantitativo Productos'!M8)=TRUE,(OR(AND($D$2="Q1",MONTH('Avance Cuantitativo Productos'!J8)&lt;=3,OR('Avance Cuantitativo Productos'!I8="Mensual",'Avance Cuantitativo Productos'!I8="Bimestral",'Avance Cuantitativo Productos'!I8="Trimestral")),AND($D$2="Q2",MONTH('Avance Cuantitativo Productos'!J8)&lt;=6,OR('Avance Cuantitativo Productos'!I8="Mensual",'Avance Cuantitativo Productos'!I8="Bimestral",'Avance Cuantitativo Productos'!I8="Trimestral",'Avance Cuantitativo Productos'!I8="Semestral")),AND($D$2="Q3",MONTH('Avance Cuantitativo Productos'!J8)&lt;=9,OR('Avance Cuantitativo Productos'!I8="Mensual",'Avance Cuantitativo Productos'!I8="Bimestral",'Avance Cuantitativo Productos'!I8="Trimestral",'Avance Cuantitativo Productos'!I8="Semestral")),AND($D$2="Q4",MONTH('Avance Cuantitativo Productos'!J8)&lt;=12,OR('Avance Cuantitativo Productos'!I8="Mensual",'Avance Cuantitativo Productos'!I8="Bimestral",'Avance Cuantitativo Productos'!I8="Trimestral",'Avance Cuantitativo Productos'!I8="Semestral",'Avance Cuantitativo Productos'!I8="Anual"))))),0,_xlfn.XLOOKUP($D$1,TRANSPOSE(Anios_Reporte[Año de Reporte]),_xlfn.XLOOKUP(Panel_Control[[#This Row],[Producto '#]],Info_Productos_Cuantitativo[Producto No.],Avance_Acumulado_Productos[])))</f>
        <v>#NAME?</v>
      </c>
      <c r="K7" s="17" t="e">
        <f ca="1">+IF(AND($D$1=YEAR('Avance Cuantitativo Productos'!J8),'Panel de Control PRODUCTOS'!$D$2="Q1",MONTH('Avance Cuantitativo Productos'!J8)&lt;=3,OR('Avance Cuantitativo Productos'!I8="Mensual",'Avance Cuantitativo Productos'!I8="Bimestral",'Avance Cuantitativo Productos'!I8="Trimestral"),SUM(OFFSET('Avance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PRODUCTOS'!$D$2="Q2",MONTH('Avance Cuantitativo Productos'!J8)&lt;=6,OR('Avance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PRODUCTOS'!$D$2="Q3",MONTH('Avance Cuantitativo Productos'!J8)&lt;=9,OR('Avance Cuantitativo Productos'!I8="Mensual",'Avance Cuantitativo Productos'!I8="Bimestral",'Avance Cuantitativo Productos'!I8="Trimestral",'Avance Cuantitativo Productos'!I8="Semestral"),SUM(OFFSET('Avance Cuantitativo Productos'!N8,0,0,1,IF($D$2="Q1",_xlfn.XMATCH($D$1,'Avance Cuantitativo Productos'!$N$4:$AS$4,0),IF($D$2="Q2",_xlfn.XMATCH($D$1,'Avance Cuantitativo Productos'!$N$4:$AS$4,0)+1,IF($D$2="Q3",_xlfn.XMATCH($D$1,'Avance Cuantitativo Productos'!$N$4:$AS$4,0)+2,IF($D$2="Q4",_xlfn.XMATCH($D$1,'Avance Cuantitativo Productos'!$N$4:$AS$4,0)+3))))))=0),"Rojo",IF(AND($D$1=YEAR('Avance Cuantitativo Productos'!J8),'Panel de Control PRODUCTOS'!$D$2="Q4",MONTH('Avance Cuantitativo Productos'!J8)&lt;=12,OR('Avance Cuantitativo Productos'!I8="Mensual",'Avance Cuantitativo Productos'!I8="Bimestral",'Avance Cuantitativo Productos'!I8="Trimestral",'Avance Cuantitativo Productos'!I8="Semestral",'Avance Cuantitativo Productos'!I8="Anual"),SUM(OFFSET('Avance Cuantitativo Productos'!N8,0,0,1,IF($D$2="Q1",_xlfn.XMATCH($D$1,'Avance Cuantitativo Productos'!$N$4:$AS$4,0),IF($D$2="Q2",_xlfn.XMATCH($D$1,'Avance Cuantitativo Productos'!$N$4:$AS$4,0)+1,IF($D$2="Q3",_xlfn.XMATCH($D$1,'Avance Cuantitativo Productos'!$N$4:$AS$4,0)+2,IF($D$2="Q4",_xlfn.XMATCH($D$1,'Avance Cuantitativo Productos'!$N$4:$AS$4,0)+3))))))=0),"Rojo",IF(AND(YEAR('Avance Cuantitativo Productos'!J8)&lt;$D$1,ISERROR('Avance Cuantitativo Productos'!M8)=TRUE),"Rojo",IF(AND(YEAR('Avance Cuantitativo Productos'!J8)&gt;$D$1,ISERROR('Avance Cuantitativo Productos'!M8)=TRUE),"Verde",IF(J7&gt;=0.75,"Verde",IF(AND(J7&lt;0.75,J7&gt;=0.5),"Amarillo",IF(J7&lt;0.5,"Rojo")))))))))</f>
        <v>#NAME?</v>
      </c>
      <c r="L7" s="46" t="e">
        <f t="shared" ca="1" si="0"/>
        <v>#NAME?</v>
      </c>
      <c r="M7" s="26" t="e">
        <f ca="1">+IF(Panel_Control[[#This Row],[PAV. Ajustado (100%)]]="","",Panel_Control[[#This Row],[PAV. Ajustado (100%)]]*Panel_Control[[#This Row],[Ponderación relativa del Producto (%)]])</f>
        <v>#NAME?</v>
      </c>
      <c r="N7" s="46" t="e">
        <f t="shared" ca="1" si="1"/>
        <v>#NAME?</v>
      </c>
      <c r="O7" s="26" t="e">
        <f ca="1">+IF(Panel_Control[[#This Row],[Porcentaje de Avance Hasta la Vigencia (100%)]]="","",Panel_Control[[#This Row],[Porcentaje de Avance Hasta la Vigencia (100%)]]*Panel_Control[[#This Row],[Ponderación relativa del Producto (%)]])</f>
        <v>#NAME?</v>
      </c>
      <c r="P7" s="46" t="e">
        <f t="shared" ca="1" si="2"/>
        <v>#NAME?</v>
      </c>
      <c r="Q7" s="26" t="e">
        <f ca="1">+IF(Panel_Control[[#This Row],[PAA. (100%)]]="","",Panel_Control[[#This Row],[PAA. (100%)]]*Panel_Control[[#This Row],[Ponderación relativa del Producto (%)]])</f>
        <v>#NAME?</v>
      </c>
      <c r="R7" s="47" cm="1">
        <f t="array" ref="R7">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1</v>
      </c>
      <c r="S7" s="26">
        <f>+Panel_Control[[#This Row],[Trayectoria Acumulada (Avance ideal)]]*Panel_Control[[#This Row],[Ponderación relativa del Producto (%)]]</f>
        <v>0.01</v>
      </c>
    </row>
    <row r="8" spans="1:19" ht="72" x14ac:dyDescent="0.3">
      <c r="A8" s="16">
        <f>+'Avance Cuantitativo Productos'!A9</f>
        <v>4</v>
      </c>
      <c r="B8" s="16" t="str">
        <f>+'Avance Cuantitativo Productos'!B9</f>
        <v>1.</v>
      </c>
      <c r="C8" s="44" t="str">
        <f>+'Avance Cuantitativo Productos'!C9</f>
        <v xml:space="preserve">1.1.4. Medición de la práctica de actividad física en los beneficiarios que participan en los programas de la Subdirección Técnica de Recreación en relación a las recomendaciones vigentes de la Organización Mundial de la Salud - OMS
</v>
      </c>
      <c r="D8" s="44" t="str">
        <f>+'Avance Cuantitativo Productos'!E9</f>
        <v xml:space="preserve">Cultura, Recreación y Deporte </v>
      </c>
      <c r="E8" s="45">
        <f>IF(ISNA('Avance Cuantitativo Productos'!M9)=FALSE,'Avance Cuantitativo Productos'!F9,IF($D$1&gt;YEAR('Avance Cuantitativo Productos'!J9),'Avance Cuantitativo Productos'!F9,IF($D$1&lt;YEAR('Avance Cuantitativo Productos'!J9),0,IF(AND($D$1=YEAR('Avance Cuantitativo Productos'!J9),$D$2="Q1",OR('Avance Cuantitativo Productos'!I9&lt;&gt;"Mensual",'Avance Cuantitativo Productos'!I9&lt;&gt;"Bimestral",'Avance Cuantitativo Productos'!I9&lt;&gt;"Trimestral")),0,IF(AND($D$1=YEAR('Avance Cuantitativo Productos'!J9),$D$2="Q2",OR('Avance Cuantitativo Productos'!I9&lt;&gt;"Mensual",'Avance Cuantitativo Productos'!I9&lt;&gt;"Bimestral",'Avance Cuantitativo Productos'!I9&lt;&gt;"Trimestral",'Avance Cuantitativo Productos'!I9&lt;&gt;"Semestral")),0,IF(AND($D$1=YEAR('Avance Cuantitativo Productos'!J9),$D$2="Q3",OR('Avance Cuantitativo Productos'!I9&lt;&gt;"Mensual",'Avance Cuantitativo Productos'!I9&lt;&gt;"Bimestral",'Avance Cuantitativo Productos'!I9&lt;&gt;"Trimestral",'Avance Cuantitativo Productos'!I9&lt;&gt;"Semestral")),0,IF(AND($D$1=YEAR('Avance Cuantitativo Productos'!J9),$D$2="Q4",OR('Avance Cuantitativo Productos'!I9&lt;&gt;"Mensual",'Avance Cuantitativo Productos'!I9&lt;&gt;"Bimestral",'Avance Cuantitativo Productos'!I9&lt;&gt;"Trimestral",'Avance Cuantitativo Productos'!I9&lt;&gt;"Semestral",'Avance Cuantitativo Productos'!I9&lt;&gt;"Anual")),0,'Avance Cuantitativo Productos'!F9)))))))</f>
        <v>0.01</v>
      </c>
      <c r="F8" s="46" t="e" cm="1">
        <f t="array" aca="1" ref="F8" ca="1">+IF(AND(_xlfn.NUMBERVALUE($D$1)&gt;=YEAR('Avance Cuantitativo Productos'!J9),ISERROR('Avance Cuantitativo Productos'!M9)=TRUE,(OR(AND($D$2="Q1",MONTH('Avance Cuantitativo Productos'!J9)&lt;=3,OR('Avance Cuantitativo Productos'!I9="Mensual",'Avance Cuantitativo Productos'!I9="Bimestral",'Avance Cuantitativo Productos'!I9="Trimestral")),AND($D$2="Q2",MONTH('Avance Cuantitativo Productos'!J9)&lt;=6,OR('Avance Cuantitativo Productos'!I9="Mensual",'Avance Cuantitativo Productos'!I9="Bimestral",'Avance Cuantitativo Productos'!I9="Trimestral",'Avance Cuantitativo Productos'!I9="Semestral")),AND($D$2="Q3",MONTH('Avance Cuantitativo Productos'!J9)&lt;=9,OR('Avance Cuantitativo Productos'!I9="Mensual",'Avance Cuantitativo Productos'!I9="Bimestral",'Avance Cuantitativo Productos'!I9="Trimestral",'Avance Cuantitativo Productos'!I9="Semestral")),AND($D$2="Q4",MONTH('Avance Cuantitativo Productos'!J9)&lt;=12,OR('Avance Cuantitativo Productos'!I9="Mensual",'Avance Cuantitativo Productos'!I9="Bimestral",'Avance Cuantitativo Productos'!I9="Trimestral",'Avance Cuantitativo Productos'!I9="Semestral",'Avance Cuantitativo Productos'!I9="Anual"))))),0,_xlfn.XLOOKUP($D$1,TRANSPOSE(Anios_Reporte[Año de Reporte]),_xlfn.XLOOKUP(Panel_Control[[#This Row],[Producto '#]],Info_Productos_Cuantitativo[Producto No.],Avance_en_Vigencia_Productos[])))</f>
        <v>#NAME?</v>
      </c>
      <c r="G8" s="17" t="e">
        <f ca="1">+IF(AND($D$1=YEAR('Avance Cuantitativo Productos'!J9),'Panel de Control PRODUCTOS'!$D$2="Q1",OR('Avance Cuantitativo Productos'!I9="Mensual",'Avance Cuantitativo Productos'!I9="Bimestral",'Avance Cuantitativo Productos'!I9="Trimestral"),MONTH('Avance Cuantitativo Productos'!J9)&lt;=3,SUM(OFFSET('Avance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PRODUCTOS'!$D$2="Q2",MONTH('Avance Cuantitativo Productos'!J9)&lt;=6,OR('Avance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PRODUCTOS'!$D$2="Q3",MONTH('Avance Cuantitativo Productos'!J9)&lt;=9,OR('Avance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PRODUCTOS'!$D$2="Q4",MONTH('Avance Cuantitativo Productos'!J9)&lt;=12,OR('Avance Cuantitativo Productos'!I9="Mensual",'Avance Cuantitativo Productos'!I9="Bimestral",'Avance Cuantitativo Productos'!I9="Trimestral",'Avance Cuantitativo Productos'!I9="Semestral",'Avance Cuantitativo Productos'!I9="Anual"),SUM(OFFSET('Avance Cuantitativo Productos'!N9,0,0,1,IF($D$2="Q1",_xlfn.XMATCH($D$1,'Avance Cuantitativo Productos'!$N$4:$AS$4,0),IF($D$2="Q2",_xlfn.XMATCH($D$1,'Avance Cuantitativo Productos'!$N$4:$AS$4,0)+1,IF($D$2="Q3",_xlfn.XMATCH($D$1,'Avance Cuantitativo Productos'!$N$4:$AS$4,0)+2,IF($D$2="Q4",_xlfn.XMATCH($D$1,'Avance Cuantitativo Productos'!$N$4:$AS$4,0)+3)))))))=0,"Rojo",IF(F8&gt;=0.75,"Verde",IF(AND(F8&lt;0.75,F8&gt;=0.5),"Amarillo",IF(F8&lt;0.5,"Rojo","ERROR")))))))</f>
        <v>#NAME?</v>
      </c>
      <c r="H8" s="46" t="e" cm="1">
        <f t="array" aca="1" ref="H8" ca="1">+IF(AND(_xlfn.NUMBERVALUE($D$1)&gt;=YEAR('Avance Cuantitativo Productos'!J9),ISERROR('Avance Cuantitativo Productos'!M9)=TRUE,(OR(AND($D$2="Q1",MONTH('Avance Cuantitativo Productos'!J9)&lt;=3,OR('Avance Cuantitativo Productos'!I9="Mensual",'Avance Cuantitativo Productos'!I9="Bimestral",'Avance Cuantitativo Productos'!I9="Trimestral")),AND($D$2="Q2",MONTH('Avance Cuantitativo Productos'!J9)&lt;=6,OR('Avance Cuantitativo Productos'!I9="Mensual",'Avance Cuantitativo Productos'!I9="Bimestral",'Avance Cuantitativo Productos'!I9="Trimestral",'Avance Cuantitativo Productos'!I9="Semestral")),AND($D$2="Q3",MONTH('Avance Cuantitativo Productos'!J9)&lt;=9,OR('Avance Cuantitativo Productos'!I9="Mensual",'Avance Cuantitativo Productos'!I9="Bimestral",'Avance Cuantitativo Productos'!I9="Trimestral",'Avance Cuantitativo Productos'!I9="Semestral")),AND($D$2="Q4",MONTH('Avance Cuantitativo Productos'!J9)&lt;=12,OR('Avance Cuantitativo Productos'!I9="Mensual",'Avance Cuantitativo Productos'!I9="Bimestral",'Avance Cuantitativo Productos'!I9="Trimestral",'Avance Cuantitativo Productos'!I9="Semestral",'Avance Cuantitativo Productos'!I9="Anual"))))),0,_xlfn.XLOOKUP($D$1,TRANSPOSE(Anios_Reporte[Año de Reporte]),_xlfn.XLOOKUP(Panel_Control[[#This Row],[Producto '#]],Info_Productos_Cuantitativo[Producto No.],Avance_Hasta_Vigencia_Productos[])))</f>
        <v>#NAME?</v>
      </c>
      <c r="I8" s="16" t="e">
        <f ca="1">+IF(AND($D$1=YEAR('Avance Cuantitativo Productos'!J9),'Panel de Control PRODUCTOS'!$D$2="Q1",MONTH('Avance Cuantitativo Productos'!J9)&lt;=3,OR('Avance Cuantitativo Productos'!I9="Mensual",'Avance Cuantitativo Productos'!I9="Bimestral",'Avance Cuantitativo Productos'!I9="Trimestral"),SUM(OFFSET('Avance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PRODUCTOS'!$D$2="Q2",MONTH('Avance Cuantitativo Productos'!J9)&lt;=6,OR('Avance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PRODUCTOS'!$D$2="Q3",MONTH('Avance Cuantitativo Productos'!J9)&lt;=9,OR('Avance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PRODUCTOS'!$D$2="Q4",MONTH('Avance Cuantitativo Productos'!J9)&lt;=12,OR('Avance Cuantitativo Productos'!I9="Mensual",'Avance Cuantitativo Productos'!I9="Bimestral",'Avance Cuantitativo Productos'!I9="Trimestral",'Avance Cuantitativo Productos'!I9="Semestral",'Avance Cuantitativo Productos'!I9="Anual"),SUM(OFFSET('Avance Cuantitativo Productos'!N9,0,0,1,IF($D$2="Q1",_xlfn.XMATCH($D$1,'Avance Cuantitativo Productos'!$N$4:$AS$4,0),IF($D$2="Q2",_xlfn.XMATCH($D$1,'Avance Cuantitativo Productos'!$N$4:$AS$4,0)+1,IF($D$2="Q3",_xlfn.XMATCH($D$1,'Avance Cuantitativo Productos'!$N$4:$AS$4,0)+2,IF($D$2="Q4",_xlfn.XMATCH($D$1,'Avance Cuantitativo Productos'!$N$4:$AS$4,0)+3))))))=0),"Rojo",IF(AND(YEAR('Avance Cuantitativo Productos'!J9)&lt;$D$1,ISERROR('Avance Cuantitativo Productos'!M9)=TRUE),"Rojo",IF(AND(YEAR('Avance Cuantitativo Productos'!J9)&gt;$D$1,ISERROR('Avance Cuantitativo Productos'!M9)=TRUE),"Verde",IF(H8&gt;=0.75,"Verde",IF(AND(H8&lt;0.75,H8&gt;=0.5),"Amarillo",IF(H8&lt;0.5,"Rojo")))))))))</f>
        <v>#NAME?</v>
      </c>
      <c r="J8" s="46" t="e" cm="1">
        <f t="array" aca="1" ref="J8" ca="1">+IF(AND(_xlfn.NUMBERVALUE($D$1)&gt;=YEAR('Avance Cuantitativo Productos'!J9),ISERROR('Avance Cuantitativo Productos'!M9)=TRUE,(OR(AND($D$2="Q1",MONTH('Avance Cuantitativo Productos'!J9)&lt;=3,OR('Avance Cuantitativo Productos'!I9="Mensual",'Avance Cuantitativo Productos'!I9="Bimestral",'Avance Cuantitativo Productos'!I9="Trimestral")),AND($D$2="Q2",MONTH('Avance Cuantitativo Productos'!J9)&lt;=6,OR('Avance Cuantitativo Productos'!I9="Mensual",'Avance Cuantitativo Productos'!I9="Bimestral",'Avance Cuantitativo Productos'!I9="Trimestral",'Avance Cuantitativo Productos'!I9="Semestral")),AND($D$2="Q3",MONTH('Avance Cuantitativo Productos'!J9)&lt;=9,OR('Avance Cuantitativo Productos'!I9="Mensual",'Avance Cuantitativo Productos'!I9="Bimestral",'Avance Cuantitativo Productos'!I9="Trimestral",'Avance Cuantitativo Productos'!I9="Semestral")),AND($D$2="Q4",MONTH('Avance Cuantitativo Productos'!J9)&lt;=12,OR('Avance Cuantitativo Productos'!I9="Mensual",'Avance Cuantitativo Productos'!I9="Bimestral",'Avance Cuantitativo Productos'!I9="Trimestral",'Avance Cuantitativo Productos'!I9="Semestral",'Avance Cuantitativo Productos'!I9="Anual"))))),0,_xlfn.XLOOKUP($D$1,TRANSPOSE(Anios_Reporte[Año de Reporte]),_xlfn.XLOOKUP(Panel_Control[[#This Row],[Producto '#]],Info_Productos_Cuantitativo[Producto No.],Avance_Acumulado_Productos[])))</f>
        <v>#NAME?</v>
      </c>
      <c r="K8" s="17" t="e">
        <f ca="1">+IF(AND($D$1=YEAR('Avance Cuantitativo Productos'!J9),'Panel de Control PRODUCTOS'!$D$2="Q1",MONTH('Avance Cuantitativo Productos'!J9)&lt;=3,OR('Avance Cuantitativo Productos'!I9="Mensual",'Avance Cuantitativo Productos'!I9="Bimestral",'Avance Cuantitativo Productos'!I9="Trimestral"),SUM(OFFSET('Avance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PRODUCTOS'!$D$2="Q2",MONTH('Avance Cuantitativo Productos'!J9)&lt;=6,OR('Avance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PRODUCTOS'!$D$2="Q3",MONTH('Avance Cuantitativo Productos'!J9)&lt;=9,OR('Avance Cuantitativo Productos'!I9="Mensual",'Avance Cuantitativo Productos'!I9="Bimestral",'Avance Cuantitativo Productos'!I9="Trimestral",'Avance Cuantitativo Productos'!I9="Semestral"),SUM(OFFSET('Avance Cuantitativo Productos'!N9,0,0,1,IF($D$2="Q1",_xlfn.XMATCH($D$1,'Avance Cuantitativo Productos'!$N$4:$AS$4,0),IF($D$2="Q2",_xlfn.XMATCH($D$1,'Avance Cuantitativo Productos'!$N$4:$AS$4,0)+1,IF($D$2="Q3",_xlfn.XMATCH($D$1,'Avance Cuantitativo Productos'!$N$4:$AS$4,0)+2,IF($D$2="Q4",_xlfn.XMATCH($D$1,'Avance Cuantitativo Productos'!$N$4:$AS$4,0)+3))))))=0),"Rojo",IF(AND($D$1=YEAR('Avance Cuantitativo Productos'!J9),'Panel de Control PRODUCTOS'!$D$2="Q4",MONTH('Avance Cuantitativo Productos'!J9)&lt;=12,OR('Avance Cuantitativo Productos'!I9="Mensual",'Avance Cuantitativo Productos'!I9="Bimestral",'Avance Cuantitativo Productos'!I9="Trimestral",'Avance Cuantitativo Productos'!I9="Semestral",'Avance Cuantitativo Productos'!I9="Anual"),SUM(OFFSET('Avance Cuantitativo Productos'!N9,0,0,1,IF($D$2="Q1",_xlfn.XMATCH($D$1,'Avance Cuantitativo Productos'!$N$4:$AS$4,0),IF($D$2="Q2",_xlfn.XMATCH($D$1,'Avance Cuantitativo Productos'!$N$4:$AS$4,0)+1,IF($D$2="Q3",_xlfn.XMATCH($D$1,'Avance Cuantitativo Productos'!$N$4:$AS$4,0)+2,IF($D$2="Q4",_xlfn.XMATCH($D$1,'Avance Cuantitativo Productos'!$N$4:$AS$4,0)+3))))))=0),"Rojo",IF(AND(YEAR('Avance Cuantitativo Productos'!J9)&lt;$D$1,ISERROR('Avance Cuantitativo Productos'!M9)=TRUE),"Rojo",IF(AND(YEAR('Avance Cuantitativo Productos'!J9)&gt;$D$1,ISERROR('Avance Cuantitativo Productos'!M9)=TRUE),"Verde",IF(J8&gt;=0.75,"Verde",IF(AND(J8&lt;0.75,J8&gt;=0.5),"Amarillo",IF(J8&lt;0.5,"Rojo")))))))))</f>
        <v>#NAME?</v>
      </c>
      <c r="L8" s="46" t="e">
        <f t="shared" ca="1" si="0"/>
        <v>#NAME?</v>
      </c>
      <c r="M8" s="26" t="e">
        <f ca="1">+IF(Panel_Control[[#This Row],[PAV. Ajustado (100%)]]="","",Panel_Control[[#This Row],[PAV. Ajustado (100%)]]*Panel_Control[[#This Row],[Ponderación relativa del Producto (%)]])</f>
        <v>#NAME?</v>
      </c>
      <c r="N8" s="46" t="e">
        <f t="shared" ca="1" si="1"/>
        <v>#NAME?</v>
      </c>
      <c r="O8" s="26" t="e">
        <f ca="1">+IF(Panel_Control[[#This Row],[Porcentaje de Avance Hasta la Vigencia (100%)]]="","",Panel_Control[[#This Row],[Porcentaje de Avance Hasta la Vigencia (100%)]]*Panel_Control[[#This Row],[Ponderación relativa del Producto (%)]])</f>
        <v>#NAME?</v>
      </c>
      <c r="P8" s="46" t="e">
        <f t="shared" ca="1" si="2"/>
        <v>#NAME?</v>
      </c>
      <c r="Q8" s="26" t="e">
        <f ca="1">+IF(Panel_Control[[#This Row],[PAA. (100%)]]="","",Panel_Control[[#This Row],[PAA. (100%)]]*Panel_Control[[#This Row],[Ponderación relativa del Producto (%)]])</f>
        <v>#NAME?</v>
      </c>
      <c r="R8" s="47" cm="1">
        <f t="array" ref="R8">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0.19211619514428593</v>
      </c>
      <c r="S8" s="26">
        <f>+Panel_Control[[#This Row],[Trayectoria Acumulada (Avance ideal)]]*Panel_Control[[#This Row],[Ponderación relativa del Producto (%)]]</f>
        <v>1.9211619514428594E-3</v>
      </c>
    </row>
    <row r="9" spans="1:19" x14ac:dyDescent="0.3">
      <c r="A9" s="16">
        <f>+'Avance Cuantitativo Productos'!A10</f>
        <v>5</v>
      </c>
      <c r="B9" s="16" t="str">
        <f>+'Avance Cuantitativo Productos'!B10</f>
        <v>1.</v>
      </c>
      <c r="C9" s="44" t="str">
        <f>+'Avance Cuantitativo Productos'!C10</f>
        <v>1.1.5 Centros de interés en deporte</v>
      </c>
      <c r="D9" s="44" t="str">
        <f>+'Avance Cuantitativo Productos'!E10</f>
        <v>Educación </v>
      </c>
      <c r="E9" s="45">
        <f>IF(ISNA('Avance Cuantitativo Productos'!M10)=FALSE,'Avance Cuantitativo Productos'!F10,IF($D$1&gt;YEAR('Avance Cuantitativo Productos'!J10),'Avance Cuantitativo Productos'!F10,IF($D$1&lt;YEAR('Avance Cuantitativo Productos'!J10),0,IF(AND($D$1=YEAR('Avance Cuantitativo Productos'!J10),$D$2="Q1",OR('Avance Cuantitativo Productos'!I10&lt;&gt;"Mensual",'Avance Cuantitativo Productos'!I10&lt;&gt;"Bimestral",'Avance Cuantitativo Productos'!I10&lt;&gt;"Trimestral")),0,IF(AND($D$1=YEAR('Avance Cuantitativo Productos'!J10),$D$2="Q2",OR('Avance Cuantitativo Productos'!I10&lt;&gt;"Mensual",'Avance Cuantitativo Productos'!I10&lt;&gt;"Bimestral",'Avance Cuantitativo Productos'!I10&lt;&gt;"Trimestral",'Avance Cuantitativo Productos'!I10&lt;&gt;"Semestral")),0,IF(AND($D$1=YEAR('Avance Cuantitativo Productos'!J10),$D$2="Q3",OR('Avance Cuantitativo Productos'!I10&lt;&gt;"Mensual",'Avance Cuantitativo Productos'!I10&lt;&gt;"Bimestral",'Avance Cuantitativo Productos'!I10&lt;&gt;"Trimestral",'Avance Cuantitativo Productos'!I10&lt;&gt;"Semestral")),0,IF(AND($D$1=YEAR('Avance Cuantitativo Productos'!J10),$D$2="Q4",OR('Avance Cuantitativo Productos'!I10&lt;&gt;"Mensual",'Avance Cuantitativo Productos'!I10&lt;&gt;"Bimestral",'Avance Cuantitativo Productos'!I10&lt;&gt;"Trimestral",'Avance Cuantitativo Productos'!I10&lt;&gt;"Semestral",'Avance Cuantitativo Productos'!I10&lt;&gt;"Anual")),0,'Avance Cuantitativo Productos'!F10)))))))</f>
        <v>0.01</v>
      </c>
      <c r="F9" s="46" t="e" cm="1">
        <f t="array" aca="1" ref="F9" ca="1">+IF(AND(_xlfn.NUMBERVALUE($D$1)&gt;=YEAR('Avance Cuantitativo Productos'!J10),ISERROR('Avance Cuantitativo Productos'!M10)=TRUE,(OR(AND($D$2="Q1",MONTH('Avance Cuantitativo Productos'!J10)&lt;=3,OR('Avance Cuantitativo Productos'!I10="Mensual",'Avance Cuantitativo Productos'!I10="Bimestral",'Avance Cuantitativo Productos'!I10="Trimestral")),AND($D$2="Q2",MONTH('Avance Cuantitativo Productos'!J10)&lt;=6,OR('Avance Cuantitativo Productos'!I10="Mensual",'Avance Cuantitativo Productos'!I10="Bimestral",'Avance Cuantitativo Productos'!I10="Trimestral",'Avance Cuantitativo Productos'!I10="Semestral")),AND($D$2="Q3",MONTH('Avance Cuantitativo Productos'!J10)&lt;=9,OR('Avance Cuantitativo Productos'!I10="Mensual",'Avance Cuantitativo Productos'!I10="Bimestral",'Avance Cuantitativo Productos'!I10="Trimestral",'Avance Cuantitativo Productos'!I10="Semestral")),AND($D$2="Q4",MONTH('Avance Cuantitativo Productos'!J10)&lt;=12,OR('Avance Cuantitativo Productos'!I10="Mensual",'Avance Cuantitativo Productos'!I10="Bimestral",'Avance Cuantitativo Productos'!I10="Trimestral",'Avance Cuantitativo Productos'!I10="Semestral",'Avance Cuantitativo Productos'!I10="Anual"))))),0,_xlfn.XLOOKUP($D$1,TRANSPOSE(Anios_Reporte[Año de Reporte]),_xlfn.XLOOKUP(Panel_Control[[#This Row],[Producto '#]],Info_Productos_Cuantitativo[Producto No.],Avance_en_Vigencia_Productos[])))</f>
        <v>#NAME?</v>
      </c>
      <c r="G9" s="17" t="e">
        <f ca="1">+IF(AND($D$1=YEAR('Avance Cuantitativo Productos'!J10),'Panel de Control PRODUCTOS'!$D$2="Q1",OR('Avance Cuantitativo Productos'!I10="Mensual",'Avance Cuantitativo Productos'!I10="Bimestral",'Avance Cuantitativo Productos'!I10="Trimestral"),MONTH('Avance Cuantitativo Productos'!J10)&lt;=3,SUM(OFFSET('Avance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PRODUCTOS'!$D$2="Q2",MONTH('Avance Cuantitativo Productos'!J10)&lt;=6,OR('Avance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PRODUCTOS'!$D$2="Q3",MONTH('Avance Cuantitativo Productos'!J10)&lt;=9,OR('Avance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PRODUCTOS'!$D$2="Q4",MONTH('Avance Cuantitativo Productos'!J10)&lt;=12,OR('Avance Cuantitativo Productos'!I10="Mensual",'Avance Cuantitativo Productos'!I10="Bimestral",'Avance Cuantitativo Productos'!I10="Trimestral",'Avance Cuantitativo Productos'!I10="Semestral",'Avance Cuantitativo Productos'!I10="Anual"),SUM(OFFSET('Avance Cuantitativo Productos'!N10,0,0,1,IF($D$2="Q1",_xlfn.XMATCH($D$1,'Avance Cuantitativo Productos'!$N$4:$AS$4,0),IF($D$2="Q2",_xlfn.XMATCH($D$1,'Avance Cuantitativo Productos'!$N$4:$AS$4,0)+1,IF($D$2="Q3",_xlfn.XMATCH($D$1,'Avance Cuantitativo Productos'!$N$4:$AS$4,0)+2,IF($D$2="Q4",_xlfn.XMATCH($D$1,'Avance Cuantitativo Productos'!$N$4:$AS$4,0)+3)))))))=0,"Rojo",IF(F9&gt;=0.75,"Verde",IF(AND(F9&lt;0.75,F9&gt;=0.5),"Amarillo",IF(F9&lt;0.5,"Rojo","ERROR")))))))</f>
        <v>#NAME?</v>
      </c>
      <c r="H9" s="46" t="e" cm="1">
        <f t="array" aca="1" ref="H9" ca="1">+IF(AND(_xlfn.NUMBERVALUE($D$1)&gt;=YEAR('Avance Cuantitativo Productos'!J10),ISERROR('Avance Cuantitativo Productos'!M10)=TRUE,(OR(AND($D$2="Q1",MONTH('Avance Cuantitativo Productos'!J10)&lt;=3,OR('Avance Cuantitativo Productos'!I10="Mensual",'Avance Cuantitativo Productos'!I10="Bimestral",'Avance Cuantitativo Productos'!I10="Trimestral")),AND($D$2="Q2",MONTH('Avance Cuantitativo Productos'!J10)&lt;=6,OR('Avance Cuantitativo Productos'!I10="Mensual",'Avance Cuantitativo Productos'!I10="Bimestral",'Avance Cuantitativo Productos'!I10="Trimestral",'Avance Cuantitativo Productos'!I10="Semestral")),AND($D$2="Q3",MONTH('Avance Cuantitativo Productos'!J10)&lt;=9,OR('Avance Cuantitativo Productos'!I10="Mensual",'Avance Cuantitativo Productos'!I10="Bimestral",'Avance Cuantitativo Productos'!I10="Trimestral",'Avance Cuantitativo Productos'!I10="Semestral")),AND($D$2="Q4",MONTH('Avance Cuantitativo Productos'!J10)&lt;=12,OR('Avance Cuantitativo Productos'!I10="Mensual",'Avance Cuantitativo Productos'!I10="Bimestral",'Avance Cuantitativo Productos'!I10="Trimestral",'Avance Cuantitativo Productos'!I10="Semestral",'Avance Cuantitativo Productos'!I10="Anual"))))),0,_xlfn.XLOOKUP($D$1,TRANSPOSE(Anios_Reporte[Año de Reporte]),_xlfn.XLOOKUP(Panel_Control[[#This Row],[Producto '#]],Info_Productos_Cuantitativo[Producto No.],Avance_Hasta_Vigencia_Productos[])))</f>
        <v>#NAME?</v>
      </c>
      <c r="I9" s="16" t="e">
        <f ca="1">+IF(AND($D$1=YEAR('Avance Cuantitativo Productos'!J10),'Panel de Control PRODUCTOS'!$D$2="Q1",MONTH('Avance Cuantitativo Productos'!J10)&lt;=3,OR('Avance Cuantitativo Productos'!I10="Mensual",'Avance Cuantitativo Productos'!I10="Bimestral",'Avance Cuantitativo Productos'!I10="Trimestral"),SUM(OFFSET('Avance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PRODUCTOS'!$D$2="Q2",MONTH('Avance Cuantitativo Productos'!J10)&lt;=6,OR('Avance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PRODUCTOS'!$D$2="Q3",MONTH('Avance Cuantitativo Productos'!J10)&lt;=9,OR('Avance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PRODUCTOS'!$D$2="Q4",MONTH('Avance Cuantitativo Productos'!J10)&lt;=12,OR('Avance Cuantitativo Productos'!I10="Mensual",'Avance Cuantitativo Productos'!I10="Bimestral",'Avance Cuantitativo Productos'!I10="Trimestral",'Avance Cuantitativo Productos'!I10="Semestral",'Avance Cuantitativo Productos'!I10="Anual"),SUM(OFFSET('Avance Cuantitativo Productos'!N10,0,0,1,IF($D$2="Q1",_xlfn.XMATCH($D$1,'Avance Cuantitativo Productos'!$N$4:$AS$4,0),IF($D$2="Q2",_xlfn.XMATCH($D$1,'Avance Cuantitativo Productos'!$N$4:$AS$4,0)+1,IF($D$2="Q3",_xlfn.XMATCH($D$1,'Avance Cuantitativo Productos'!$N$4:$AS$4,0)+2,IF($D$2="Q4",_xlfn.XMATCH($D$1,'Avance Cuantitativo Productos'!$N$4:$AS$4,0)+3))))))=0),"Rojo",IF(AND(YEAR('Avance Cuantitativo Productos'!J10)&lt;$D$1,ISERROR('Avance Cuantitativo Productos'!M10)=TRUE),"Rojo",IF(AND(YEAR('Avance Cuantitativo Productos'!J10)&gt;$D$1,ISERROR('Avance Cuantitativo Productos'!M10)=TRUE),"Verde",IF(H9&gt;=0.75,"Verde",IF(AND(H9&lt;0.75,H9&gt;=0.5),"Amarillo",IF(H9&lt;0.5,"Rojo")))))))))</f>
        <v>#NAME?</v>
      </c>
      <c r="J9" s="46" t="e" cm="1">
        <f t="array" aca="1" ref="J9" ca="1">+IF(AND(_xlfn.NUMBERVALUE($D$1)&gt;=YEAR('Avance Cuantitativo Productos'!J10),ISERROR('Avance Cuantitativo Productos'!M10)=TRUE,(OR(AND($D$2="Q1",MONTH('Avance Cuantitativo Productos'!J10)&lt;=3,OR('Avance Cuantitativo Productos'!I10="Mensual",'Avance Cuantitativo Productos'!I10="Bimestral",'Avance Cuantitativo Productos'!I10="Trimestral")),AND($D$2="Q2",MONTH('Avance Cuantitativo Productos'!J10)&lt;=6,OR('Avance Cuantitativo Productos'!I10="Mensual",'Avance Cuantitativo Productos'!I10="Bimestral",'Avance Cuantitativo Productos'!I10="Trimestral",'Avance Cuantitativo Productos'!I10="Semestral")),AND($D$2="Q3",MONTH('Avance Cuantitativo Productos'!J10)&lt;=9,OR('Avance Cuantitativo Productos'!I10="Mensual",'Avance Cuantitativo Productos'!I10="Bimestral",'Avance Cuantitativo Productos'!I10="Trimestral",'Avance Cuantitativo Productos'!I10="Semestral")),AND($D$2="Q4",MONTH('Avance Cuantitativo Productos'!J10)&lt;=12,OR('Avance Cuantitativo Productos'!I10="Mensual",'Avance Cuantitativo Productos'!I10="Bimestral",'Avance Cuantitativo Productos'!I10="Trimestral",'Avance Cuantitativo Productos'!I10="Semestral",'Avance Cuantitativo Productos'!I10="Anual"))))),0,_xlfn.XLOOKUP($D$1,TRANSPOSE(Anios_Reporte[Año de Reporte]),_xlfn.XLOOKUP(Panel_Control[[#This Row],[Producto '#]],Info_Productos_Cuantitativo[Producto No.],Avance_Acumulado_Productos[])))</f>
        <v>#NAME?</v>
      </c>
      <c r="K9" s="17" t="e">
        <f ca="1">+IF(AND($D$1=YEAR('Avance Cuantitativo Productos'!J10),'Panel de Control PRODUCTOS'!$D$2="Q1",MONTH('Avance Cuantitativo Productos'!J10)&lt;=3,OR('Avance Cuantitativo Productos'!I10="Mensual",'Avance Cuantitativo Productos'!I10="Bimestral",'Avance Cuantitativo Productos'!I10="Trimestral"),SUM(OFFSET('Avance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PRODUCTOS'!$D$2="Q2",MONTH('Avance Cuantitativo Productos'!J10)&lt;=6,OR('Avance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PRODUCTOS'!$D$2="Q3",MONTH('Avance Cuantitativo Productos'!J10)&lt;=9,OR('Avance Cuantitativo Productos'!I10="Mensual",'Avance Cuantitativo Productos'!I10="Bimestral",'Avance Cuantitativo Productos'!I10="Trimestral",'Avance Cuantitativo Productos'!I10="Semestral"),SUM(OFFSET('Avance Cuantitativo Productos'!N10,0,0,1,IF($D$2="Q1",_xlfn.XMATCH($D$1,'Avance Cuantitativo Productos'!$N$4:$AS$4,0),IF($D$2="Q2",_xlfn.XMATCH($D$1,'Avance Cuantitativo Productos'!$N$4:$AS$4,0)+1,IF($D$2="Q3",_xlfn.XMATCH($D$1,'Avance Cuantitativo Productos'!$N$4:$AS$4,0)+2,IF($D$2="Q4",_xlfn.XMATCH($D$1,'Avance Cuantitativo Productos'!$N$4:$AS$4,0)+3))))))=0),"Rojo",IF(AND($D$1=YEAR('Avance Cuantitativo Productos'!J10),'Panel de Control PRODUCTOS'!$D$2="Q4",MONTH('Avance Cuantitativo Productos'!J10)&lt;=12,OR('Avance Cuantitativo Productos'!I10="Mensual",'Avance Cuantitativo Productos'!I10="Bimestral",'Avance Cuantitativo Productos'!I10="Trimestral",'Avance Cuantitativo Productos'!I10="Semestral",'Avance Cuantitativo Productos'!I10="Anual"),SUM(OFFSET('Avance Cuantitativo Productos'!N10,0,0,1,IF($D$2="Q1",_xlfn.XMATCH($D$1,'Avance Cuantitativo Productos'!$N$4:$AS$4,0),IF($D$2="Q2",_xlfn.XMATCH($D$1,'Avance Cuantitativo Productos'!$N$4:$AS$4,0)+1,IF($D$2="Q3",_xlfn.XMATCH($D$1,'Avance Cuantitativo Productos'!$N$4:$AS$4,0)+2,IF($D$2="Q4",_xlfn.XMATCH($D$1,'Avance Cuantitativo Productos'!$N$4:$AS$4,0)+3))))))=0),"Rojo",IF(AND(YEAR('Avance Cuantitativo Productos'!J10)&lt;$D$1,ISERROR('Avance Cuantitativo Productos'!M10)=TRUE),"Rojo",IF(AND(YEAR('Avance Cuantitativo Productos'!J10)&gt;$D$1,ISERROR('Avance Cuantitativo Productos'!M10)=TRUE),"Verde",IF(J9&gt;=0.75,"Verde",IF(AND(J9&lt;0.75,J9&gt;=0.5),"Amarillo",IF(J9&lt;0.5,"Rojo")))))))))</f>
        <v>#NAME?</v>
      </c>
      <c r="L9" s="46" t="e">
        <f t="shared" ca="1" si="0"/>
        <v>#NAME?</v>
      </c>
      <c r="M9" s="26" t="e">
        <f ca="1">+IF(Panel_Control[[#This Row],[PAV. Ajustado (100%)]]="","",Panel_Control[[#This Row],[PAV. Ajustado (100%)]]*Panel_Control[[#This Row],[Ponderación relativa del Producto (%)]])</f>
        <v>#NAME?</v>
      </c>
      <c r="N9" s="46" t="e">
        <f t="shared" ca="1" si="1"/>
        <v>#NAME?</v>
      </c>
      <c r="O9" s="26" t="e">
        <f ca="1">+IF(Panel_Control[[#This Row],[Porcentaje de Avance Hasta la Vigencia (100%)]]="","",Panel_Control[[#This Row],[Porcentaje de Avance Hasta la Vigencia (100%)]]*Panel_Control[[#This Row],[Ponderación relativa del Producto (%)]])</f>
        <v>#NAME?</v>
      </c>
      <c r="P9" s="46" t="e">
        <f t="shared" ca="1" si="2"/>
        <v>#NAME?</v>
      </c>
      <c r="Q9" s="26" t="e">
        <f ca="1">+IF(Panel_Control[[#This Row],[PAA. (100%)]]="","",Panel_Control[[#This Row],[PAA. (100%)]]*Panel_Control[[#This Row],[Ponderación relativa del Producto (%)]])</f>
        <v>#NAME?</v>
      </c>
      <c r="R9" s="47" cm="1">
        <f t="array" ref="R9">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v>
      </c>
      <c r="S9" s="26">
        <f>+Panel_Control[[#This Row],[Trayectoria Acumulada (Avance ideal)]]*Panel_Control[[#This Row],[Ponderación relativa del Producto (%)]]</f>
        <v>2E-3</v>
      </c>
    </row>
    <row r="10" spans="1:19" ht="57.6" x14ac:dyDescent="0.3">
      <c r="A10" s="16">
        <f>+'Avance Cuantitativo Productos'!A11</f>
        <v>6</v>
      </c>
      <c r="B10" s="16" t="str">
        <f>+'Avance Cuantitativo Productos'!B11</f>
        <v>1.</v>
      </c>
      <c r="C10" s="44" t="str">
        <f>+'Avance Cuantitativo Productos'!C11</f>
        <v>1.1.6. Intervenciones interinstitucionales para la seguridad y convivencia en entornos donde se adelantan actividades deportivas, recreativas y de actividad física, desde la perspectiva de la participación y la cultura ciudadana.</v>
      </c>
      <c r="D10" s="44" t="str">
        <f>+'Avance Cuantitativo Productos'!E11</f>
        <v>Seguridad, Convivencia y Justicia</v>
      </c>
      <c r="E10" s="45">
        <f>IF(ISNA('Avance Cuantitativo Productos'!M11)=FALSE,'Avance Cuantitativo Productos'!F11,IF($D$1&gt;YEAR('Avance Cuantitativo Productos'!J11),'Avance Cuantitativo Productos'!F11,IF($D$1&lt;YEAR('Avance Cuantitativo Productos'!J11),0,IF(AND($D$1=YEAR('Avance Cuantitativo Productos'!J11),$D$2="Q1",OR('Avance Cuantitativo Productos'!I11&lt;&gt;"Mensual",'Avance Cuantitativo Productos'!I11&lt;&gt;"Bimestral",'Avance Cuantitativo Productos'!I11&lt;&gt;"Trimestral")),0,IF(AND($D$1=YEAR('Avance Cuantitativo Productos'!J11),$D$2="Q2",OR('Avance Cuantitativo Productos'!I11&lt;&gt;"Mensual",'Avance Cuantitativo Productos'!I11&lt;&gt;"Bimestral",'Avance Cuantitativo Productos'!I11&lt;&gt;"Trimestral",'Avance Cuantitativo Productos'!I11&lt;&gt;"Semestral")),0,IF(AND($D$1=YEAR('Avance Cuantitativo Productos'!J11),$D$2="Q3",OR('Avance Cuantitativo Productos'!I11&lt;&gt;"Mensual",'Avance Cuantitativo Productos'!I11&lt;&gt;"Bimestral",'Avance Cuantitativo Productos'!I11&lt;&gt;"Trimestral",'Avance Cuantitativo Productos'!I11&lt;&gt;"Semestral")),0,IF(AND($D$1=YEAR('Avance Cuantitativo Productos'!J11),$D$2="Q4",OR('Avance Cuantitativo Productos'!I11&lt;&gt;"Mensual",'Avance Cuantitativo Productos'!I11&lt;&gt;"Bimestral",'Avance Cuantitativo Productos'!I11&lt;&gt;"Trimestral",'Avance Cuantitativo Productos'!I11&lt;&gt;"Semestral",'Avance Cuantitativo Productos'!I11&lt;&gt;"Anual")),0,'Avance Cuantitativo Productos'!F11)))))))</f>
        <v>0.01</v>
      </c>
      <c r="F10" s="46" t="e" cm="1">
        <f t="array" aca="1" ref="F10" ca="1">+IF(AND(_xlfn.NUMBERVALUE($D$1)&gt;=YEAR('Avance Cuantitativo Productos'!J11),ISERROR('Avance Cuantitativo Productos'!M11)=TRUE,(OR(AND($D$2="Q1",MONTH('Avance Cuantitativo Productos'!J11)&lt;=3,OR('Avance Cuantitativo Productos'!I11="Mensual",'Avance Cuantitativo Productos'!I11="Bimestral",'Avance Cuantitativo Productos'!I11="Trimestral")),AND($D$2="Q2",MONTH('Avance Cuantitativo Productos'!J11)&lt;=6,OR('Avance Cuantitativo Productos'!I11="Mensual",'Avance Cuantitativo Productos'!I11="Bimestral",'Avance Cuantitativo Productos'!I11="Trimestral",'Avance Cuantitativo Productos'!I11="Semestral")),AND($D$2="Q3",MONTH('Avance Cuantitativo Productos'!J11)&lt;=9,OR('Avance Cuantitativo Productos'!I11="Mensual",'Avance Cuantitativo Productos'!I11="Bimestral",'Avance Cuantitativo Productos'!I11="Trimestral",'Avance Cuantitativo Productos'!I11="Semestral")),AND($D$2="Q4",MONTH('Avance Cuantitativo Productos'!J11)&lt;=12,OR('Avance Cuantitativo Productos'!I11="Mensual",'Avance Cuantitativo Productos'!I11="Bimestral",'Avance Cuantitativo Productos'!I11="Trimestral",'Avance Cuantitativo Productos'!I11="Semestral",'Avance Cuantitativo Productos'!I11="Anual"))))),0,_xlfn.XLOOKUP($D$1,TRANSPOSE(Anios_Reporte[Año de Reporte]),_xlfn.XLOOKUP(Panel_Control[[#This Row],[Producto '#]],Info_Productos_Cuantitativo[Producto No.],Avance_en_Vigencia_Productos[])))</f>
        <v>#NAME?</v>
      </c>
      <c r="G10" s="17" t="e">
        <f ca="1">+IF(AND($D$1=YEAR('Avance Cuantitativo Productos'!J11),'Panel de Control PRODUCTOS'!$D$2="Q1",OR('Avance Cuantitativo Productos'!I11="Mensual",'Avance Cuantitativo Productos'!I11="Bimestral",'Avance Cuantitativo Productos'!I11="Trimestral"),MONTH('Avance Cuantitativo Productos'!J11)&lt;=3,SUM(OFFSET('Avance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PRODUCTOS'!$D$2="Q2",MONTH('Avance Cuantitativo Productos'!J11)&lt;=6,OR('Avance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PRODUCTOS'!$D$2="Q3",MONTH('Avance Cuantitativo Productos'!J11)&lt;=9,OR('Avance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PRODUCTOS'!$D$2="Q4",MONTH('Avance Cuantitativo Productos'!J11)&lt;=12,OR('Avance Cuantitativo Productos'!I11="Mensual",'Avance Cuantitativo Productos'!I11="Bimestral",'Avance Cuantitativo Productos'!I11="Trimestral",'Avance Cuantitativo Productos'!I11="Semestral",'Avance Cuantitativo Productos'!I11="Anual"),SUM(OFFSET('Avance Cuantitativo Productos'!N11,0,0,1,IF($D$2="Q1",_xlfn.XMATCH($D$1,'Avance Cuantitativo Productos'!$N$4:$AS$4,0),IF($D$2="Q2",_xlfn.XMATCH($D$1,'Avance Cuantitativo Productos'!$N$4:$AS$4,0)+1,IF($D$2="Q3",_xlfn.XMATCH($D$1,'Avance Cuantitativo Productos'!$N$4:$AS$4,0)+2,IF($D$2="Q4",_xlfn.XMATCH($D$1,'Avance Cuantitativo Productos'!$N$4:$AS$4,0)+3)))))))=0,"Rojo",IF(F10&gt;=0.75,"Verde",IF(AND(F10&lt;0.75,F10&gt;=0.5),"Amarillo",IF(F10&lt;0.5,"Rojo","ERROR")))))))</f>
        <v>#NAME?</v>
      </c>
      <c r="H10" s="46" t="e" cm="1">
        <f t="array" aca="1" ref="H10" ca="1">+IF(AND(_xlfn.NUMBERVALUE($D$1)&gt;=YEAR('Avance Cuantitativo Productos'!J11),ISERROR('Avance Cuantitativo Productos'!M11)=TRUE,(OR(AND($D$2="Q1",MONTH('Avance Cuantitativo Productos'!J11)&lt;=3,OR('Avance Cuantitativo Productos'!I11="Mensual",'Avance Cuantitativo Productos'!I11="Bimestral",'Avance Cuantitativo Productos'!I11="Trimestral")),AND($D$2="Q2",MONTH('Avance Cuantitativo Productos'!J11)&lt;=6,OR('Avance Cuantitativo Productos'!I11="Mensual",'Avance Cuantitativo Productos'!I11="Bimestral",'Avance Cuantitativo Productos'!I11="Trimestral",'Avance Cuantitativo Productos'!I11="Semestral")),AND($D$2="Q3",MONTH('Avance Cuantitativo Productos'!J11)&lt;=9,OR('Avance Cuantitativo Productos'!I11="Mensual",'Avance Cuantitativo Productos'!I11="Bimestral",'Avance Cuantitativo Productos'!I11="Trimestral",'Avance Cuantitativo Productos'!I11="Semestral")),AND($D$2="Q4",MONTH('Avance Cuantitativo Productos'!J11)&lt;=12,OR('Avance Cuantitativo Productos'!I11="Mensual",'Avance Cuantitativo Productos'!I11="Bimestral",'Avance Cuantitativo Productos'!I11="Trimestral",'Avance Cuantitativo Productos'!I11="Semestral",'Avance Cuantitativo Productos'!I11="Anual"))))),0,_xlfn.XLOOKUP($D$1,TRANSPOSE(Anios_Reporte[Año de Reporte]),_xlfn.XLOOKUP(Panel_Control[[#This Row],[Producto '#]],Info_Productos_Cuantitativo[Producto No.],Avance_Hasta_Vigencia_Productos[])))</f>
        <v>#NAME?</v>
      </c>
      <c r="I10" s="16" t="e">
        <f ca="1">+IF(AND($D$1=YEAR('Avance Cuantitativo Productos'!J11),'Panel de Control PRODUCTOS'!$D$2="Q1",MONTH('Avance Cuantitativo Productos'!J11)&lt;=3,OR('Avance Cuantitativo Productos'!I11="Mensual",'Avance Cuantitativo Productos'!I11="Bimestral",'Avance Cuantitativo Productos'!I11="Trimestral"),SUM(OFFSET('Avance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PRODUCTOS'!$D$2="Q2",MONTH('Avance Cuantitativo Productos'!J11)&lt;=6,OR('Avance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PRODUCTOS'!$D$2="Q3",MONTH('Avance Cuantitativo Productos'!J11)&lt;=9,OR('Avance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PRODUCTOS'!$D$2="Q4",MONTH('Avance Cuantitativo Productos'!J11)&lt;=12,OR('Avance Cuantitativo Productos'!I11="Mensual",'Avance Cuantitativo Productos'!I11="Bimestral",'Avance Cuantitativo Productos'!I11="Trimestral",'Avance Cuantitativo Productos'!I11="Semestral",'Avance Cuantitativo Productos'!I11="Anual"),SUM(OFFSET('Avance Cuantitativo Productos'!N11,0,0,1,IF($D$2="Q1",_xlfn.XMATCH($D$1,'Avance Cuantitativo Productos'!$N$4:$AS$4,0),IF($D$2="Q2",_xlfn.XMATCH($D$1,'Avance Cuantitativo Productos'!$N$4:$AS$4,0)+1,IF($D$2="Q3",_xlfn.XMATCH($D$1,'Avance Cuantitativo Productos'!$N$4:$AS$4,0)+2,IF($D$2="Q4",_xlfn.XMATCH($D$1,'Avance Cuantitativo Productos'!$N$4:$AS$4,0)+3))))))=0),"Rojo",IF(AND(YEAR('Avance Cuantitativo Productos'!J11)&lt;$D$1,ISERROR('Avance Cuantitativo Productos'!M11)=TRUE),"Rojo",IF(AND(YEAR('Avance Cuantitativo Productos'!J11)&gt;$D$1,ISERROR('Avance Cuantitativo Productos'!M11)=TRUE),"Verde",IF(H10&gt;=0.75,"Verde",IF(AND(H10&lt;0.75,H10&gt;=0.5),"Amarillo",IF(H10&lt;0.5,"Rojo")))))))))</f>
        <v>#NAME?</v>
      </c>
      <c r="J10" s="46" t="e" cm="1">
        <f t="array" aca="1" ref="J10" ca="1">+IF(AND(_xlfn.NUMBERVALUE($D$1)&gt;=YEAR('Avance Cuantitativo Productos'!J11),ISERROR('Avance Cuantitativo Productos'!M11)=TRUE,(OR(AND($D$2="Q1",MONTH('Avance Cuantitativo Productos'!J11)&lt;=3,OR('Avance Cuantitativo Productos'!I11="Mensual",'Avance Cuantitativo Productos'!I11="Bimestral",'Avance Cuantitativo Productos'!I11="Trimestral")),AND($D$2="Q2",MONTH('Avance Cuantitativo Productos'!J11)&lt;=6,OR('Avance Cuantitativo Productos'!I11="Mensual",'Avance Cuantitativo Productos'!I11="Bimestral",'Avance Cuantitativo Productos'!I11="Trimestral",'Avance Cuantitativo Productos'!I11="Semestral")),AND($D$2="Q3",MONTH('Avance Cuantitativo Productos'!J11)&lt;=9,OR('Avance Cuantitativo Productos'!I11="Mensual",'Avance Cuantitativo Productos'!I11="Bimestral",'Avance Cuantitativo Productos'!I11="Trimestral",'Avance Cuantitativo Productos'!I11="Semestral")),AND($D$2="Q4",MONTH('Avance Cuantitativo Productos'!J11)&lt;=12,OR('Avance Cuantitativo Productos'!I11="Mensual",'Avance Cuantitativo Productos'!I11="Bimestral",'Avance Cuantitativo Productos'!I11="Trimestral",'Avance Cuantitativo Productos'!I11="Semestral",'Avance Cuantitativo Productos'!I11="Anual"))))),0,_xlfn.XLOOKUP($D$1,TRANSPOSE(Anios_Reporte[Año de Reporte]),_xlfn.XLOOKUP(Panel_Control[[#This Row],[Producto '#]],Info_Productos_Cuantitativo[Producto No.],Avance_Acumulado_Productos[])))</f>
        <v>#NAME?</v>
      </c>
      <c r="K10" s="17" t="e">
        <f ca="1">+IF(AND($D$1=YEAR('Avance Cuantitativo Productos'!J11),'Panel de Control PRODUCTOS'!$D$2="Q1",MONTH('Avance Cuantitativo Productos'!J11)&lt;=3,OR('Avance Cuantitativo Productos'!I11="Mensual",'Avance Cuantitativo Productos'!I11="Bimestral",'Avance Cuantitativo Productos'!I11="Trimestral"),SUM(OFFSET('Avance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PRODUCTOS'!$D$2="Q2",MONTH('Avance Cuantitativo Productos'!J11)&lt;=6,OR('Avance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PRODUCTOS'!$D$2="Q3",MONTH('Avance Cuantitativo Productos'!J11)&lt;=9,OR('Avance Cuantitativo Productos'!I11="Mensual",'Avance Cuantitativo Productos'!I11="Bimestral",'Avance Cuantitativo Productos'!I11="Trimestral",'Avance Cuantitativo Productos'!I11="Semestral"),SUM(OFFSET('Avance Cuantitativo Productos'!N11,0,0,1,IF($D$2="Q1",_xlfn.XMATCH($D$1,'Avance Cuantitativo Productos'!$N$4:$AS$4,0),IF($D$2="Q2",_xlfn.XMATCH($D$1,'Avance Cuantitativo Productos'!$N$4:$AS$4,0)+1,IF($D$2="Q3",_xlfn.XMATCH($D$1,'Avance Cuantitativo Productos'!$N$4:$AS$4,0)+2,IF($D$2="Q4",_xlfn.XMATCH($D$1,'Avance Cuantitativo Productos'!$N$4:$AS$4,0)+3))))))=0),"Rojo",IF(AND($D$1=YEAR('Avance Cuantitativo Productos'!J11),'Panel de Control PRODUCTOS'!$D$2="Q4",MONTH('Avance Cuantitativo Productos'!J11)&lt;=12,OR('Avance Cuantitativo Productos'!I11="Mensual",'Avance Cuantitativo Productos'!I11="Bimestral",'Avance Cuantitativo Productos'!I11="Trimestral",'Avance Cuantitativo Productos'!I11="Semestral",'Avance Cuantitativo Productos'!I11="Anual"),SUM(OFFSET('Avance Cuantitativo Productos'!N11,0,0,1,IF($D$2="Q1",_xlfn.XMATCH($D$1,'Avance Cuantitativo Productos'!$N$4:$AS$4,0),IF($D$2="Q2",_xlfn.XMATCH($D$1,'Avance Cuantitativo Productos'!$N$4:$AS$4,0)+1,IF($D$2="Q3",_xlfn.XMATCH($D$1,'Avance Cuantitativo Productos'!$N$4:$AS$4,0)+2,IF($D$2="Q4",_xlfn.XMATCH($D$1,'Avance Cuantitativo Productos'!$N$4:$AS$4,0)+3))))))=0),"Rojo",IF(AND(YEAR('Avance Cuantitativo Productos'!J11)&lt;$D$1,ISERROR('Avance Cuantitativo Productos'!M11)=TRUE),"Rojo",IF(AND(YEAR('Avance Cuantitativo Productos'!J11)&gt;$D$1,ISERROR('Avance Cuantitativo Productos'!M11)=TRUE),"Verde",IF(J10&gt;=0.75,"Verde",IF(AND(J10&lt;0.75,J10&gt;=0.5),"Amarillo",IF(J10&lt;0.5,"Rojo")))))))))</f>
        <v>#NAME?</v>
      </c>
      <c r="L10" s="46" t="e">
        <f t="shared" ca="1" si="0"/>
        <v>#NAME?</v>
      </c>
      <c r="M10" s="26" t="e">
        <f ca="1">+IF(Panel_Control[[#This Row],[PAV. Ajustado (100%)]]="","",Panel_Control[[#This Row],[PAV. Ajustado (100%)]]*Panel_Control[[#This Row],[Ponderación relativa del Producto (%)]])</f>
        <v>#NAME?</v>
      </c>
      <c r="N10" s="46" t="e">
        <f t="shared" ca="1" si="1"/>
        <v>#NAME?</v>
      </c>
      <c r="O10" s="26" t="e">
        <f ca="1">+IF(Panel_Control[[#This Row],[Porcentaje de Avance Hasta la Vigencia (100%)]]="","",Panel_Control[[#This Row],[Porcentaje de Avance Hasta la Vigencia (100%)]]*Panel_Control[[#This Row],[Ponderación relativa del Producto (%)]])</f>
        <v>#NAME?</v>
      </c>
      <c r="P10" s="46" t="e">
        <f t="shared" ca="1" si="2"/>
        <v>#NAME?</v>
      </c>
      <c r="Q10" s="26" t="e">
        <f ca="1">+IF(Panel_Control[[#This Row],[PAA. (100%)]]="","",Panel_Control[[#This Row],[PAA. (100%)]]*Panel_Control[[#This Row],[Ponderación relativa del Producto (%)]])</f>
        <v>#NAME?</v>
      </c>
      <c r="R10" s="47" cm="1">
        <f t="array" ref="R10">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v>
      </c>
      <c r="S10" s="26">
        <f>+Panel_Control[[#This Row],[Trayectoria Acumulada (Avance ideal)]]*Panel_Control[[#This Row],[Ponderación relativa del Producto (%)]]</f>
        <v>2E-3</v>
      </c>
    </row>
    <row r="11" spans="1:19" ht="43.2" x14ac:dyDescent="0.3">
      <c r="A11" s="16">
        <f>+'Avance Cuantitativo Productos'!A12</f>
        <v>7</v>
      </c>
      <c r="B11" s="16" t="str">
        <f>+'Avance Cuantitativo Productos'!B12</f>
        <v>1.</v>
      </c>
      <c r="C11" s="44" t="str">
        <f>+'Avance Cuantitativo Productos'!C12</f>
        <v xml:space="preserve">1.1.7. Acciones interinstitucionales de control y registro en parques priorizados en la ciudad, que aporten a la disuasión del delito y lograr entornos más seguros y confiables </v>
      </c>
      <c r="D11" s="44" t="str">
        <f>+'Avance Cuantitativo Productos'!E12</f>
        <v>Seguridad, Convivencia y Justicia</v>
      </c>
      <c r="E11" s="45">
        <f>IF(ISNA('Avance Cuantitativo Productos'!M12)=FALSE,'Avance Cuantitativo Productos'!F12,IF($D$1&gt;YEAR('Avance Cuantitativo Productos'!J12),'Avance Cuantitativo Productos'!F12,IF($D$1&lt;YEAR('Avance Cuantitativo Productos'!J12),0,IF(AND($D$1=YEAR('Avance Cuantitativo Productos'!J12),$D$2="Q1",OR('Avance Cuantitativo Productos'!I12&lt;&gt;"Mensual",'Avance Cuantitativo Productos'!I12&lt;&gt;"Bimestral",'Avance Cuantitativo Productos'!I12&lt;&gt;"Trimestral")),0,IF(AND($D$1=YEAR('Avance Cuantitativo Productos'!J12),$D$2="Q2",OR('Avance Cuantitativo Productos'!I12&lt;&gt;"Mensual",'Avance Cuantitativo Productos'!I12&lt;&gt;"Bimestral",'Avance Cuantitativo Productos'!I12&lt;&gt;"Trimestral",'Avance Cuantitativo Productos'!I12&lt;&gt;"Semestral")),0,IF(AND($D$1=YEAR('Avance Cuantitativo Productos'!J12),$D$2="Q3",OR('Avance Cuantitativo Productos'!I12&lt;&gt;"Mensual",'Avance Cuantitativo Productos'!I12&lt;&gt;"Bimestral",'Avance Cuantitativo Productos'!I12&lt;&gt;"Trimestral",'Avance Cuantitativo Productos'!I12&lt;&gt;"Semestral")),0,IF(AND($D$1=YEAR('Avance Cuantitativo Productos'!J12),$D$2="Q4",OR('Avance Cuantitativo Productos'!I12&lt;&gt;"Mensual",'Avance Cuantitativo Productos'!I12&lt;&gt;"Bimestral",'Avance Cuantitativo Productos'!I12&lt;&gt;"Trimestral",'Avance Cuantitativo Productos'!I12&lt;&gt;"Semestral",'Avance Cuantitativo Productos'!I12&lt;&gt;"Anual")),0,'Avance Cuantitativo Productos'!F12)))))))</f>
        <v>0.01</v>
      </c>
      <c r="F11" s="46" t="e" cm="1">
        <f t="array" aca="1" ref="F11" ca="1">+IF(AND(_xlfn.NUMBERVALUE($D$1)&gt;=YEAR('Avance Cuantitativo Productos'!J12),ISERROR('Avance Cuantitativo Productos'!M12)=TRUE,(OR(AND($D$2="Q1",MONTH('Avance Cuantitativo Productos'!J12)&lt;=3,OR('Avance Cuantitativo Productos'!I12="Mensual",'Avance Cuantitativo Productos'!I12="Bimestral",'Avance Cuantitativo Productos'!I12="Trimestral")),AND($D$2="Q2",MONTH('Avance Cuantitativo Productos'!J12)&lt;=6,OR('Avance Cuantitativo Productos'!I12="Mensual",'Avance Cuantitativo Productos'!I12="Bimestral",'Avance Cuantitativo Productos'!I12="Trimestral",'Avance Cuantitativo Productos'!I12="Semestral")),AND($D$2="Q3",MONTH('Avance Cuantitativo Productos'!J12)&lt;=9,OR('Avance Cuantitativo Productos'!I12="Mensual",'Avance Cuantitativo Productos'!I12="Bimestral",'Avance Cuantitativo Productos'!I12="Trimestral",'Avance Cuantitativo Productos'!I12="Semestral")),AND($D$2="Q4",MONTH('Avance Cuantitativo Productos'!J12)&lt;=12,OR('Avance Cuantitativo Productos'!I12="Mensual",'Avance Cuantitativo Productos'!I12="Bimestral",'Avance Cuantitativo Productos'!I12="Trimestral",'Avance Cuantitativo Productos'!I12="Semestral",'Avance Cuantitativo Productos'!I12="Anual"))))),0,_xlfn.XLOOKUP($D$1,TRANSPOSE(Anios_Reporte[Año de Reporte]),_xlfn.XLOOKUP(Panel_Control[[#This Row],[Producto '#]],Info_Productos_Cuantitativo[Producto No.],Avance_en_Vigencia_Productos[])))</f>
        <v>#NAME?</v>
      </c>
      <c r="G11" s="17" t="e">
        <f ca="1">+IF(AND($D$1=YEAR('Avance Cuantitativo Productos'!J12),'Panel de Control PRODUCTOS'!$D$2="Q1",OR('Avance Cuantitativo Productos'!I12="Mensual",'Avance Cuantitativo Productos'!I12="Bimestral",'Avance Cuantitativo Productos'!I12="Trimestral"),MONTH('Avance Cuantitativo Productos'!J12)&lt;=3,SUM(OFFSET('Avance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PRODUCTOS'!$D$2="Q2",MONTH('Avance Cuantitativo Productos'!J12)&lt;=6,OR('Avance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PRODUCTOS'!$D$2="Q3",MONTH('Avance Cuantitativo Productos'!J12)&lt;=9,OR('Avance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PRODUCTOS'!$D$2="Q4",MONTH('Avance Cuantitativo Productos'!J12)&lt;=12,OR('Avance Cuantitativo Productos'!I12="Mensual",'Avance Cuantitativo Productos'!I12="Bimestral",'Avance Cuantitativo Productos'!I12="Trimestral",'Avance Cuantitativo Productos'!I12="Semestral",'Avance Cuantitativo Productos'!I12="Anual"),SUM(OFFSET('Avance Cuantitativo Productos'!N12,0,0,1,IF($D$2="Q1",_xlfn.XMATCH($D$1,'Avance Cuantitativo Productos'!$N$4:$AS$4,0),IF($D$2="Q2",_xlfn.XMATCH($D$1,'Avance Cuantitativo Productos'!$N$4:$AS$4,0)+1,IF($D$2="Q3",_xlfn.XMATCH($D$1,'Avance Cuantitativo Productos'!$N$4:$AS$4,0)+2,IF($D$2="Q4",_xlfn.XMATCH($D$1,'Avance Cuantitativo Productos'!$N$4:$AS$4,0)+3)))))))=0,"Rojo",IF(F11&gt;=0.75,"Verde",IF(AND(F11&lt;0.75,F11&gt;=0.5),"Amarillo",IF(F11&lt;0.5,"Rojo","ERROR")))))))</f>
        <v>#NAME?</v>
      </c>
      <c r="H11" s="46" t="e" cm="1">
        <f t="array" aca="1" ref="H11" ca="1">+IF(AND(_xlfn.NUMBERVALUE($D$1)&gt;=YEAR('Avance Cuantitativo Productos'!J12),ISERROR('Avance Cuantitativo Productos'!M12)=TRUE,(OR(AND($D$2="Q1",MONTH('Avance Cuantitativo Productos'!J12)&lt;=3,OR('Avance Cuantitativo Productos'!I12="Mensual",'Avance Cuantitativo Productos'!I12="Bimestral",'Avance Cuantitativo Productos'!I12="Trimestral")),AND($D$2="Q2",MONTH('Avance Cuantitativo Productos'!J12)&lt;=6,OR('Avance Cuantitativo Productos'!I12="Mensual",'Avance Cuantitativo Productos'!I12="Bimestral",'Avance Cuantitativo Productos'!I12="Trimestral",'Avance Cuantitativo Productos'!I12="Semestral")),AND($D$2="Q3",MONTH('Avance Cuantitativo Productos'!J12)&lt;=9,OR('Avance Cuantitativo Productos'!I12="Mensual",'Avance Cuantitativo Productos'!I12="Bimestral",'Avance Cuantitativo Productos'!I12="Trimestral",'Avance Cuantitativo Productos'!I12="Semestral")),AND($D$2="Q4",MONTH('Avance Cuantitativo Productos'!J12)&lt;=12,OR('Avance Cuantitativo Productos'!I12="Mensual",'Avance Cuantitativo Productos'!I12="Bimestral",'Avance Cuantitativo Productos'!I12="Trimestral",'Avance Cuantitativo Productos'!I12="Semestral",'Avance Cuantitativo Productos'!I12="Anual"))))),0,_xlfn.XLOOKUP($D$1,TRANSPOSE(Anios_Reporte[Año de Reporte]),_xlfn.XLOOKUP(Panel_Control[[#This Row],[Producto '#]],Info_Productos_Cuantitativo[Producto No.],Avance_Hasta_Vigencia_Productos[])))</f>
        <v>#NAME?</v>
      </c>
      <c r="I11" s="16" t="e">
        <f ca="1">+IF(AND($D$1=YEAR('Avance Cuantitativo Productos'!J12),'Panel de Control PRODUCTOS'!$D$2="Q1",MONTH('Avance Cuantitativo Productos'!J12)&lt;=3,OR('Avance Cuantitativo Productos'!I12="Mensual",'Avance Cuantitativo Productos'!I12="Bimestral",'Avance Cuantitativo Productos'!I12="Trimestral"),SUM(OFFSET('Avance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PRODUCTOS'!$D$2="Q2",MONTH('Avance Cuantitativo Productos'!J12)&lt;=6,OR('Avance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PRODUCTOS'!$D$2="Q3",MONTH('Avance Cuantitativo Productos'!J12)&lt;=9,OR('Avance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PRODUCTOS'!$D$2="Q4",MONTH('Avance Cuantitativo Productos'!J12)&lt;=12,OR('Avance Cuantitativo Productos'!I12="Mensual",'Avance Cuantitativo Productos'!I12="Bimestral",'Avance Cuantitativo Productos'!I12="Trimestral",'Avance Cuantitativo Productos'!I12="Semestral",'Avance Cuantitativo Productos'!I12="Anual"),SUM(OFFSET('Avance Cuantitativo Productos'!N12,0,0,1,IF($D$2="Q1",_xlfn.XMATCH($D$1,'Avance Cuantitativo Productos'!$N$4:$AS$4,0),IF($D$2="Q2",_xlfn.XMATCH($D$1,'Avance Cuantitativo Productos'!$N$4:$AS$4,0)+1,IF($D$2="Q3",_xlfn.XMATCH($D$1,'Avance Cuantitativo Productos'!$N$4:$AS$4,0)+2,IF($D$2="Q4",_xlfn.XMATCH($D$1,'Avance Cuantitativo Productos'!$N$4:$AS$4,0)+3))))))=0),"Rojo",IF(AND(YEAR('Avance Cuantitativo Productos'!J12)&lt;$D$1,ISERROR('Avance Cuantitativo Productos'!M12)=TRUE),"Rojo",IF(AND(YEAR('Avance Cuantitativo Productos'!J12)&gt;$D$1,ISERROR('Avance Cuantitativo Productos'!M12)=TRUE),"Verde",IF(H11&gt;=0.75,"Verde",IF(AND(H11&lt;0.75,H11&gt;=0.5),"Amarillo",IF(H11&lt;0.5,"Rojo")))))))))</f>
        <v>#NAME?</v>
      </c>
      <c r="J11" s="46" t="e" cm="1">
        <f t="array" aca="1" ref="J11" ca="1">+IF(AND(_xlfn.NUMBERVALUE($D$1)&gt;=YEAR('Avance Cuantitativo Productos'!J12),ISERROR('Avance Cuantitativo Productos'!M12)=TRUE,(OR(AND($D$2="Q1",MONTH('Avance Cuantitativo Productos'!J12)&lt;=3,OR('Avance Cuantitativo Productos'!I12="Mensual",'Avance Cuantitativo Productos'!I12="Bimestral",'Avance Cuantitativo Productos'!I12="Trimestral")),AND($D$2="Q2",MONTH('Avance Cuantitativo Productos'!J12)&lt;=6,OR('Avance Cuantitativo Productos'!I12="Mensual",'Avance Cuantitativo Productos'!I12="Bimestral",'Avance Cuantitativo Productos'!I12="Trimestral",'Avance Cuantitativo Productos'!I12="Semestral")),AND($D$2="Q3",MONTH('Avance Cuantitativo Productos'!J12)&lt;=9,OR('Avance Cuantitativo Productos'!I12="Mensual",'Avance Cuantitativo Productos'!I12="Bimestral",'Avance Cuantitativo Productos'!I12="Trimestral",'Avance Cuantitativo Productos'!I12="Semestral")),AND($D$2="Q4",MONTH('Avance Cuantitativo Productos'!J12)&lt;=12,OR('Avance Cuantitativo Productos'!I12="Mensual",'Avance Cuantitativo Productos'!I12="Bimestral",'Avance Cuantitativo Productos'!I12="Trimestral",'Avance Cuantitativo Productos'!I12="Semestral",'Avance Cuantitativo Productos'!I12="Anual"))))),0,_xlfn.XLOOKUP($D$1,TRANSPOSE(Anios_Reporte[Año de Reporte]),_xlfn.XLOOKUP(Panel_Control[[#This Row],[Producto '#]],Info_Productos_Cuantitativo[Producto No.],Avance_Acumulado_Productos[])))</f>
        <v>#NAME?</v>
      </c>
      <c r="K11" s="17" t="e">
        <f ca="1">+IF(AND($D$1=YEAR('Avance Cuantitativo Productos'!J12),'Panel de Control PRODUCTOS'!$D$2="Q1",MONTH('Avance Cuantitativo Productos'!J12)&lt;=3,OR('Avance Cuantitativo Productos'!I12="Mensual",'Avance Cuantitativo Productos'!I12="Bimestral",'Avance Cuantitativo Productos'!I12="Trimestral"),SUM(OFFSET('Avance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PRODUCTOS'!$D$2="Q2",MONTH('Avance Cuantitativo Productos'!J12)&lt;=6,OR('Avance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PRODUCTOS'!$D$2="Q3",MONTH('Avance Cuantitativo Productos'!J12)&lt;=9,OR('Avance Cuantitativo Productos'!I12="Mensual",'Avance Cuantitativo Productos'!I12="Bimestral",'Avance Cuantitativo Productos'!I12="Trimestral",'Avance Cuantitativo Productos'!I12="Semestral"),SUM(OFFSET('Avance Cuantitativo Productos'!N12,0,0,1,IF($D$2="Q1",_xlfn.XMATCH($D$1,'Avance Cuantitativo Productos'!$N$4:$AS$4,0),IF($D$2="Q2",_xlfn.XMATCH($D$1,'Avance Cuantitativo Productos'!$N$4:$AS$4,0)+1,IF($D$2="Q3",_xlfn.XMATCH($D$1,'Avance Cuantitativo Productos'!$N$4:$AS$4,0)+2,IF($D$2="Q4",_xlfn.XMATCH($D$1,'Avance Cuantitativo Productos'!$N$4:$AS$4,0)+3))))))=0),"Rojo",IF(AND($D$1=YEAR('Avance Cuantitativo Productos'!J12),'Panel de Control PRODUCTOS'!$D$2="Q4",MONTH('Avance Cuantitativo Productos'!J12)&lt;=12,OR('Avance Cuantitativo Productos'!I12="Mensual",'Avance Cuantitativo Productos'!I12="Bimestral",'Avance Cuantitativo Productos'!I12="Trimestral",'Avance Cuantitativo Productos'!I12="Semestral",'Avance Cuantitativo Productos'!I12="Anual"),SUM(OFFSET('Avance Cuantitativo Productos'!N12,0,0,1,IF($D$2="Q1",_xlfn.XMATCH($D$1,'Avance Cuantitativo Productos'!$N$4:$AS$4,0),IF($D$2="Q2",_xlfn.XMATCH($D$1,'Avance Cuantitativo Productos'!$N$4:$AS$4,0)+1,IF($D$2="Q3",_xlfn.XMATCH($D$1,'Avance Cuantitativo Productos'!$N$4:$AS$4,0)+2,IF($D$2="Q4",_xlfn.XMATCH($D$1,'Avance Cuantitativo Productos'!$N$4:$AS$4,0)+3))))))=0),"Rojo",IF(AND(YEAR('Avance Cuantitativo Productos'!J12)&lt;$D$1,ISERROR('Avance Cuantitativo Productos'!M12)=TRUE),"Rojo",IF(AND(YEAR('Avance Cuantitativo Productos'!J12)&gt;$D$1,ISERROR('Avance Cuantitativo Productos'!M12)=TRUE),"Verde",IF(J11&gt;=0.75,"Verde",IF(AND(J11&lt;0.75,J11&gt;=0.5),"Amarillo",IF(J11&lt;0.5,"Rojo")))))))))</f>
        <v>#NAME?</v>
      </c>
      <c r="L11" s="46" t="e">
        <f t="shared" ca="1" si="0"/>
        <v>#NAME?</v>
      </c>
      <c r="M11" s="26" t="e">
        <f ca="1">+IF(Panel_Control[[#This Row],[PAV. Ajustado (100%)]]="","",Panel_Control[[#This Row],[PAV. Ajustado (100%)]]*Panel_Control[[#This Row],[Ponderación relativa del Producto (%)]])</f>
        <v>#NAME?</v>
      </c>
      <c r="N11" s="46" t="e">
        <f t="shared" ca="1" si="1"/>
        <v>#NAME?</v>
      </c>
      <c r="O11" s="26" t="e">
        <f ca="1">+IF(Panel_Control[[#This Row],[Porcentaje de Avance Hasta la Vigencia (100%)]]="","",Panel_Control[[#This Row],[Porcentaje de Avance Hasta la Vigencia (100%)]]*Panel_Control[[#This Row],[Ponderación relativa del Producto (%)]])</f>
        <v>#NAME?</v>
      </c>
      <c r="P11" s="46" t="e">
        <f t="shared" ca="1" si="2"/>
        <v>#NAME?</v>
      </c>
      <c r="Q11" s="26" t="e">
        <f ca="1">+IF(Panel_Control[[#This Row],[PAA. (100%)]]="","",Panel_Control[[#This Row],[PAA. (100%)]]*Panel_Control[[#This Row],[Ponderación relativa del Producto (%)]])</f>
        <v>#NAME?</v>
      </c>
      <c r="R11" s="47" cm="1">
        <f t="array" ref="R11">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0.27272727272727271</v>
      </c>
      <c r="S11" s="26">
        <f>+Panel_Control[[#This Row],[Trayectoria Acumulada (Avance ideal)]]*Panel_Control[[#This Row],[Ponderación relativa del Producto (%)]]</f>
        <v>2.7272727272727271E-3</v>
      </c>
    </row>
    <row r="12" spans="1:19" ht="43.2" x14ac:dyDescent="0.3">
      <c r="A12" s="16">
        <f>+'Avance Cuantitativo Productos'!A13</f>
        <v>8</v>
      </c>
      <c r="B12" s="16" t="str">
        <f>+'Avance Cuantitativo Productos'!B13</f>
        <v>1.</v>
      </c>
      <c r="C12" s="44" t="str">
        <f>+'Avance Cuantitativo Productos'!C13</f>
        <v>1.1.8. Estrategias deportivas para adolescentes y jóvenes en el Marco del Modelo Pedagógico del Instituto Distrital para la Protecciòn de la Niñez  y la Juventud - IDIPRON</v>
      </c>
      <c r="D12" s="44" t="str">
        <f>+'Avance Cuantitativo Productos'!E13</f>
        <v>Integración Social</v>
      </c>
      <c r="E12" s="45">
        <f>IF(ISNA('Avance Cuantitativo Productos'!M13)=FALSE,'Avance Cuantitativo Productos'!F13,IF($D$1&gt;YEAR('Avance Cuantitativo Productos'!J13),'Avance Cuantitativo Productos'!F13,IF($D$1&lt;YEAR('Avance Cuantitativo Productos'!J13),0,IF(AND($D$1=YEAR('Avance Cuantitativo Productos'!J13),$D$2="Q1",OR('Avance Cuantitativo Productos'!I13&lt;&gt;"Mensual",'Avance Cuantitativo Productos'!I13&lt;&gt;"Bimestral",'Avance Cuantitativo Productos'!I13&lt;&gt;"Trimestral")),0,IF(AND($D$1=YEAR('Avance Cuantitativo Productos'!J13),$D$2="Q2",OR('Avance Cuantitativo Productos'!I13&lt;&gt;"Mensual",'Avance Cuantitativo Productos'!I13&lt;&gt;"Bimestral",'Avance Cuantitativo Productos'!I13&lt;&gt;"Trimestral",'Avance Cuantitativo Productos'!I13&lt;&gt;"Semestral")),0,IF(AND($D$1=YEAR('Avance Cuantitativo Productos'!J13),$D$2="Q3",OR('Avance Cuantitativo Productos'!I13&lt;&gt;"Mensual",'Avance Cuantitativo Productos'!I13&lt;&gt;"Bimestral",'Avance Cuantitativo Productos'!I13&lt;&gt;"Trimestral",'Avance Cuantitativo Productos'!I13&lt;&gt;"Semestral")),0,IF(AND($D$1=YEAR('Avance Cuantitativo Productos'!J13),$D$2="Q4",OR('Avance Cuantitativo Productos'!I13&lt;&gt;"Mensual",'Avance Cuantitativo Productos'!I13&lt;&gt;"Bimestral",'Avance Cuantitativo Productos'!I13&lt;&gt;"Trimestral",'Avance Cuantitativo Productos'!I13&lt;&gt;"Semestral",'Avance Cuantitativo Productos'!I13&lt;&gt;"Anual")),0,'Avance Cuantitativo Productos'!F13)))))))</f>
        <v>0.01</v>
      </c>
      <c r="F12" s="46" cm="1">
        <f t="array" ref="F12">+IF(AND(_xlfn.NUMBERVALUE($D$1)&gt;=YEAR('Avance Cuantitativo Productos'!J13),ISERROR('Avance Cuantitativo Productos'!M13)=TRUE,(OR(AND($D$2="Q1",MONTH('Avance Cuantitativo Productos'!J13)&lt;=3,OR('Avance Cuantitativo Productos'!I13="Mensual",'Avance Cuantitativo Productos'!I13="Bimestral",'Avance Cuantitativo Productos'!I13="Trimestral")),AND($D$2="Q2",MONTH('Avance Cuantitativo Productos'!J13)&lt;=6,OR('Avance Cuantitativo Productos'!I13="Mensual",'Avance Cuantitativo Productos'!I13="Bimestral",'Avance Cuantitativo Productos'!I13="Trimestral",'Avance Cuantitativo Productos'!I13="Semestral")),AND($D$2="Q3",MONTH('Avance Cuantitativo Productos'!J13)&lt;=9,OR('Avance Cuantitativo Productos'!I13="Mensual",'Avance Cuantitativo Productos'!I13="Bimestral",'Avance Cuantitativo Productos'!I13="Trimestral",'Avance Cuantitativo Productos'!I13="Semestral")),AND($D$2="Q4",MONTH('Avance Cuantitativo Productos'!J13)&lt;=12,OR('Avance Cuantitativo Productos'!I13="Mensual",'Avance Cuantitativo Productos'!I13="Bimestral",'Avance Cuantitativo Productos'!I13="Trimestral",'Avance Cuantitativo Productos'!I13="Semestral",'Avance Cuantitativo Productos'!I13="Anual"))))),0,_xlfn.XLOOKUP($D$1,TRANSPOSE(Anios_Reporte[Año de Reporte]),_xlfn.XLOOKUP(Panel_Control[[#This Row],[Producto '#]],Info_Productos_Cuantitativo[Producto No.],Avance_en_Vigencia_Productos[])))</f>
        <v>4.7961165048543686</v>
      </c>
      <c r="G12" s="17" t="e">
        <f ca="1">+IF(AND($D$1=YEAR('Avance Cuantitativo Productos'!J13),'Panel de Control PRODUCTOS'!$D$2="Q1",OR('Avance Cuantitativo Productos'!I13="Mensual",'Avance Cuantitativo Productos'!I13="Bimestral",'Avance Cuantitativo Productos'!I13="Trimestral"),MONTH('Avance Cuantitativo Productos'!J13)&lt;=3,SUM(OFFSET('Avance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PRODUCTOS'!$D$2="Q2",MONTH('Avance Cuantitativo Productos'!J13)&lt;=6,OR('Avance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PRODUCTOS'!$D$2="Q3",MONTH('Avance Cuantitativo Productos'!J13)&lt;=9,OR('Avance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PRODUCTOS'!$D$2="Q4",MONTH('Avance Cuantitativo Productos'!J13)&lt;=12,OR('Avance Cuantitativo Productos'!I13="Mensual",'Avance Cuantitativo Productos'!I13="Bimestral",'Avance Cuantitativo Productos'!I13="Trimestral",'Avance Cuantitativo Productos'!I13="Semestral",'Avance Cuantitativo Productos'!I13="Anual"),SUM(OFFSET('Avance Cuantitativo Productos'!N13,0,0,1,IF($D$2="Q1",_xlfn.XMATCH($D$1,'Avance Cuantitativo Productos'!$N$4:$AS$4,0),IF($D$2="Q2",_xlfn.XMATCH($D$1,'Avance Cuantitativo Productos'!$N$4:$AS$4,0)+1,IF($D$2="Q3",_xlfn.XMATCH($D$1,'Avance Cuantitativo Productos'!$N$4:$AS$4,0)+2,IF($D$2="Q4",_xlfn.XMATCH($D$1,'Avance Cuantitativo Productos'!$N$4:$AS$4,0)+3)))))))=0,"Rojo",IF(F12&gt;=0.75,"Verde",IF(AND(F12&lt;0.75,F12&gt;=0.5),"Amarillo",IF(F12&lt;0.5,"Rojo","ERROR")))))))</f>
        <v>#NAME?</v>
      </c>
      <c r="H12" s="46" cm="1">
        <f t="array" ref="H12">+IF(AND(_xlfn.NUMBERVALUE($D$1)&gt;=YEAR('Avance Cuantitativo Productos'!J13),ISERROR('Avance Cuantitativo Productos'!M13)=TRUE,(OR(AND($D$2="Q1",MONTH('Avance Cuantitativo Productos'!J13)&lt;=3,OR('Avance Cuantitativo Productos'!I13="Mensual",'Avance Cuantitativo Productos'!I13="Bimestral",'Avance Cuantitativo Productos'!I13="Trimestral")),AND($D$2="Q2",MONTH('Avance Cuantitativo Productos'!J13)&lt;=6,OR('Avance Cuantitativo Productos'!I13="Mensual",'Avance Cuantitativo Productos'!I13="Bimestral",'Avance Cuantitativo Productos'!I13="Trimestral",'Avance Cuantitativo Productos'!I13="Semestral")),AND($D$2="Q3",MONTH('Avance Cuantitativo Productos'!J13)&lt;=9,OR('Avance Cuantitativo Productos'!I13="Mensual",'Avance Cuantitativo Productos'!I13="Bimestral",'Avance Cuantitativo Productos'!I13="Trimestral",'Avance Cuantitativo Productos'!I13="Semestral")),AND($D$2="Q4",MONTH('Avance Cuantitativo Productos'!J13)&lt;=12,OR('Avance Cuantitativo Productos'!I13="Mensual",'Avance Cuantitativo Productos'!I13="Bimestral",'Avance Cuantitativo Productos'!I13="Trimestral",'Avance Cuantitativo Productos'!I13="Semestral",'Avance Cuantitativo Productos'!I13="Anual"))))),0,_xlfn.XLOOKUP($D$1,TRANSPOSE(Anios_Reporte[Año de Reporte]),_xlfn.XLOOKUP(Panel_Control[[#This Row],[Producto '#]],Info_Productos_Cuantitativo[Producto No.],Avance_Hasta_Vigencia_Productos[])))</f>
        <v>4.7961165048543686</v>
      </c>
      <c r="I12" s="16" t="e">
        <f ca="1">+IF(AND($D$1=YEAR('Avance Cuantitativo Productos'!J13),'Panel de Control PRODUCTOS'!$D$2="Q1",MONTH('Avance Cuantitativo Productos'!J13)&lt;=3,OR('Avance Cuantitativo Productos'!I13="Mensual",'Avance Cuantitativo Productos'!I13="Bimestral",'Avance Cuantitativo Productos'!I13="Trimestral"),SUM(OFFSET('Avance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PRODUCTOS'!$D$2="Q2",MONTH('Avance Cuantitativo Productos'!J13)&lt;=6,OR('Avance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PRODUCTOS'!$D$2="Q3",MONTH('Avance Cuantitativo Productos'!J13)&lt;=9,OR('Avance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PRODUCTOS'!$D$2="Q4",MONTH('Avance Cuantitativo Productos'!J13)&lt;=12,OR('Avance Cuantitativo Productos'!I13="Mensual",'Avance Cuantitativo Productos'!I13="Bimestral",'Avance Cuantitativo Productos'!I13="Trimestral",'Avance Cuantitativo Productos'!I13="Semestral",'Avance Cuantitativo Productos'!I13="Anual"),SUM(OFFSET('Avance Cuantitativo Productos'!N13,0,0,1,IF($D$2="Q1",_xlfn.XMATCH($D$1,'Avance Cuantitativo Productos'!$N$4:$AS$4,0),IF($D$2="Q2",_xlfn.XMATCH($D$1,'Avance Cuantitativo Productos'!$N$4:$AS$4,0)+1,IF($D$2="Q3",_xlfn.XMATCH($D$1,'Avance Cuantitativo Productos'!$N$4:$AS$4,0)+2,IF($D$2="Q4",_xlfn.XMATCH($D$1,'Avance Cuantitativo Productos'!$N$4:$AS$4,0)+3))))))=0),"Rojo",IF(AND(YEAR('Avance Cuantitativo Productos'!J13)&lt;$D$1,ISERROR('Avance Cuantitativo Productos'!M13)=TRUE),"Rojo",IF(AND(YEAR('Avance Cuantitativo Productos'!J13)&gt;$D$1,ISERROR('Avance Cuantitativo Productos'!M13)=TRUE),"Verde",IF(H12&gt;=0.75,"Verde",IF(AND(H12&lt;0.75,H12&gt;=0.5),"Amarillo",IF(H12&lt;0.5,"Rojo")))))))))</f>
        <v>#NAME?</v>
      </c>
      <c r="J12" s="46" cm="1">
        <f t="array" ref="J12">+IF(AND(_xlfn.NUMBERVALUE($D$1)&gt;=YEAR('Avance Cuantitativo Productos'!J13),ISERROR('Avance Cuantitativo Productos'!M13)=TRUE,(OR(AND($D$2="Q1",MONTH('Avance Cuantitativo Productos'!J13)&lt;=3,OR('Avance Cuantitativo Productos'!I13="Mensual",'Avance Cuantitativo Productos'!I13="Bimestral",'Avance Cuantitativo Productos'!I13="Trimestral")),AND($D$2="Q2",MONTH('Avance Cuantitativo Productos'!J13)&lt;=6,OR('Avance Cuantitativo Productos'!I13="Mensual",'Avance Cuantitativo Productos'!I13="Bimestral",'Avance Cuantitativo Productos'!I13="Trimestral",'Avance Cuantitativo Productos'!I13="Semestral")),AND($D$2="Q3",MONTH('Avance Cuantitativo Productos'!J13)&lt;=9,OR('Avance Cuantitativo Productos'!I13="Mensual",'Avance Cuantitativo Productos'!I13="Bimestral",'Avance Cuantitativo Productos'!I13="Trimestral",'Avance Cuantitativo Productos'!I13="Semestral")),AND($D$2="Q4",MONTH('Avance Cuantitativo Productos'!J13)&lt;=12,OR('Avance Cuantitativo Productos'!I13="Mensual",'Avance Cuantitativo Productos'!I13="Bimestral",'Avance Cuantitativo Productos'!I13="Trimestral",'Avance Cuantitativo Productos'!I13="Semestral",'Avance Cuantitativo Productos'!I13="Anual"))))),0,_xlfn.XLOOKUP($D$1,TRANSPOSE(Anios_Reporte[Año de Reporte]),_xlfn.XLOOKUP(Panel_Control[[#This Row],[Producto '#]],Info_Productos_Cuantitativo[Producto No.],Avance_Acumulado_Productos[])))</f>
        <v>2.9001956947162428</v>
      </c>
      <c r="K12" s="17" t="e">
        <f ca="1">+IF(AND($D$1=YEAR('Avance Cuantitativo Productos'!J13),'Panel de Control PRODUCTOS'!$D$2="Q1",MONTH('Avance Cuantitativo Productos'!J13)&lt;=3,OR('Avance Cuantitativo Productos'!I13="Mensual",'Avance Cuantitativo Productos'!I13="Bimestral",'Avance Cuantitativo Productos'!I13="Trimestral"),SUM(OFFSET('Avance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PRODUCTOS'!$D$2="Q2",MONTH('Avance Cuantitativo Productos'!J13)&lt;=6,OR('Avance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PRODUCTOS'!$D$2="Q3",MONTH('Avance Cuantitativo Productos'!J13)&lt;=9,OR('Avance Cuantitativo Productos'!I13="Mensual",'Avance Cuantitativo Productos'!I13="Bimestral",'Avance Cuantitativo Productos'!I13="Trimestral",'Avance Cuantitativo Productos'!I13="Semestral"),SUM(OFFSET('Avance Cuantitativo Productos'!N13,0,0,1,IF($D$2="Q1",_xlfn.XMATCH($D$1,'Avance Cuantitativo Productos'!$N$4:$AS$4,0),IF($D$2="Q2",_xlfn.XMATCH($D$1,'Avance Cuantitativo Productos'!$N$4:$AS$4,0)+1,IF($D$2="Q3",_xlfn.XMATCH($D$1,'Avance Cuantitativo Productos'!$N$4:$AS$4,0)+2,IF($D$2="Q4",_xlfn.XMATCH($D$1,'Avance Cuantitativo Productos'!$N$4:$AS$4,0)+3))))))=0),"Rojo",IF(AND($D$1=YEAR('Avance Cuantitativo Productos'!J13),'Panel de Control PRODUCTOS'!$D$2="Q4",MONTH('Avance Cuantitativo Productos'!J13)&lt;=12,OR('Avance Cuantitativo Productos'!I13="Mensual",'Avance Cuantitativo Productos'!I13="Bimestral",'Avance Cuantitativo Productos'!I13="Trimestral",'Avance Cuantitativo Productos'!I13="Semestral",'Avance Cuantitativo Productos'!I13="Anual"),SUM(OFFSET('Avance Cuantitativo Productos'!N13,0,0,1,IF($D$2="Q1",_xlfn.XMATCH($D$1,'Avance Cuantitativo Productos'!$N$4:$AS$4,0),IF($D$2="Q2",_xlfn.XMATCH($D$1,'Avance Cuantitativo Productos'!$N$4:$AS$4,0)+1,IF($D$2="Q3",_xlfn.XMATCH($D$1,'Avance Cuantitativo Productos'!$N$4:$AS$4,0)+2,IF($D$2="Q4",_xlfn.XMATCH($D$1,'Avance Cuantitativo Productos'!$N$4:$AS$4,0)+3))))))=0),"Rojo",IF(AND(YEAR('Avance Cuantitativo Productos'!J13)&lt;$D$1,ISERROR('Avance Cuantitativo Productos'!M13)=TRUE),"Rojo",IF(AND(YEAR('Avance Cuantitativo Productos'!J13)&gt;$D$1,ISERROR('Avance Cuantitativo Productos'!M13)=TRUE),"Verde",IF(J12&gt;=0.75,"Verde",IF(AND(J12&lt;0.75,J12&gt;=0.5),"Amarillo",IF(J12&lt;0.5,"Rojo")))))))))</f>
        <v>#NAME?</v>
      </c>
      <c r="L12" s="46">
        <f t="shared" si="0"/>
        <v>1</v>
      </c>
      <c r="M12" s="26">
        <f>+IF(Panel_Control[[#This Row],[PAV. Ajustado (100%)]]="","",Panel_Control[[#This Row],[PAV. Ajustado (100%)]]*Panel_Control[[#This Row],[Ponderación relativa del Producto (%)]])</f>
        <v>0.01</v>
      </c>
      <c r="N12" s="46">
        <f t="shared" si="1"/>
        <v>1</v>
      </c>
      <c r="O12" s="26">
        <f>+IF(Panel_Control[[#This Row],[Porcentaje de Avance Hasta la Vigencia (100%)]]="","",Panel_Control[[#This Row],[Porcentaje de Avance Hasta la Vigencia (100%)]]*Panel_Control[[#This Row],[Ponderación relativa del Producto (%)]])</f>
        <v>0.01</v>
      </c>
      <c r="P12" s="46">
        <f t="shared" si="2"/>
        <v>1</v>
      </c>
      <c r="Q12" s="26">
        <f>+IF(Panel_Control[[#This Row],[PAA. (100%)]]="","",Panel_Control[[#This Row],[PAA. (100%)]]*Panel_Control[[#This Row],[Ponderación relativa del Producto (%)]])</f>
        <v>0.01</v>
      </c>
      <c r="R12" s="47" cm="1">
        <f t="array" ref="R12">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0.6046966731898239</v>
      </c>
      <c r="S12" s="26">
        <f>+Panel_Control[[#This Row],[Trayectoria Acumulada (Avance ideal)]]*Panel_Control[[#This Row],[Ponderación relativa del Producto (%)]]</f>
        <v>6.046966731898239E-3</v>
      </c>
    </row>
    <row r="13" spans="1:19" x14ac:dyDescent="0.3">
      <c r="A13" s="16">
        <f>+'Avance Cuantitativo Productos'!A14</f>
        <v>9</v>
      </c>
      <c r="B13" s="16" t="str">
        <f>+'Avance Cuantitativo Productos'!B14</f>
        <v>1.</v>
      </c>
      <c r="C13" s="44" t="str">
        <f>+'Avance Cuantitativo Productos'!C14</f>
        <v>1.1.9 Programa Naturaleza, Salud y Cultura</v>
      </c>
      <c r="D13" s="44" t="str">
        <f>+'Avance Cuantitativo Productos'!E14</f>
        <v>Ambiente</v>
      </c>
      <c r="E13" s="45">
        <f>IF(ISNA('Avance Cuantitativo Productos'!M14)=FALSE,'Avance Cuantitativo Productos'!F14,IF($D$1&gt;YEAR('Avance Cuantitativo Productos'!J14),'Avance Cuantitativo Productos'!F14,IF($D$1&lt;YEAR('Avance Cuantitativo Productos'!J14),0,IF(AND($D$1=YEAR('Avance Cuantitativo Productos'!J14),$D$2="Q1",OR('Avance Cuantitativo Productos'!I14&lt;&gt;"Mensual",'Avance Cuantitativo Productos'!I14&lt;&gt;"Bimestral",'Avance Cuantitativo Productos'!I14&lt;&gt;"Trimestral")),0,IF(AND($D$1=YEAR('Avance Cuantitativo Productos'!J14),$D$2="Q2",OR('Avance Cuantitativo Productos'!I14&lt;&gt;"Mensual",'Avance Cuantitativo Productos'!I14&lt;&gt;"Bimestral",'Avance Cuantitativo Productos'!I14&lt;&gt;"Trimestral",'Avance Cuantitativo Productos'!I14&lt;&gt;"Semestral")),0,IF(AND($D$1=YEAR('Avance Cuantitativo Productos'!J14),$D$2="Q3",OR('Avance Cuantitativo Productos'!I14&lt;&gt;"Mensual",'Avance Cuantitativo Productos'!I14&lt;&gt;"Bimestral",'Avance Cuantitativo Productos'!I14&lt;&gt;"Trimestral",'Avance Cuantitativo Productos'!I14&lt;&gt;"Semestral")),0,IF(AND($D$1=YEAR('Avance Cuantitativo Productos'!J14),$D$2="Q4",OR('Avance Cuantitativo Productos'!I14&lt;&gt;"Mensual",'Avance Cuantitativo Productos'!I14&lt;&gt;"Bimestral",'Avance Cuantitativo Productos'!I14&lt;&gt;"Trimestral",'Avance Cuantitativo Productos'!I14&lt;&gt;"Semestral",'Avance Cuantitativo Productos'!I14&lt;&gt;"Anual")),0,'Avance Cuantitativo Productos'!F14)))))))</f>
        <v>0.02</v>
      </c>
      <c r="F13" s="46" t="e" cm="1">
        <f t="array" aca="1" ref="F13" ca="1">+IF(AND(_xlfn.NUMBERVALUE($D$1)&gt;=YEAR('Avance Cuantitativo Productos'!J14),ISERROR('Avance Cuantitativo Productos'!M14)=TRUE,(OR(AND($D$2="Q1",MONTH('Avance Cuantitativo Productos'!J14)&lt;=3,OR('Avance Cuantitativo Productos'!I14="Mensual",'Avance Cuantitativo Productos'!I14="Bimestral",'Avance Cuantitativo Productos'!I14="Trimestral")),AND($D$2="Q2",MONTH('Avance Cuantitativo Productos'!J14)&lt;=6,OR('Avance Cuantitativo Productos'!I14="Mensual",'Avance Cuantitativo Productos'!I14="Bimestral",'Avance Cuantitativo Productos'!I14="Trimestral",'Avance Cuantitativo Productos'!I14="Semestral")),AND($D$2="Q3",MONTH('Avance Cuantitativo Productos'!J14)&lt;=9,OR('Avance Cuantitativo Productos'!I14="Mensual",'Avance Cuantitativo Productos'!I14="Bimestral",'Avance Cuantitativo Productos'!I14="Trimestral",'Avance Cuantitativo Productos'!I14="Semestral")),AND($D$2="Q4",MONTH('Avance Cuantitativo Productos'!J14)&lt;=12,OR('Avance Cuantitativo Productos'!I14="Mensual",'Avance Cuantitativo Productos'!I14="Bimestral",'Avance Cuantitativo Productos'!I14="Trimestral",'Avance Cuantitativo Productos'!I14="Semestral",'Avance Cuantitativo Productos'!I14="Anual"))))),0,_xlfn.XLOOKUP($D$1,TRANSPOSE(Anios_Reporte[Año de Reporte]),_xlfn.XLOOKUP(Panel_Control[[#This Row],[Producto '#]],Info_Productos_Cuantitativo[Producto No.],Avance_en_Vigencia_Productos[])))</f>
        <v>#NAME?</v>
      </c>
      <c r="G13" s="17" t="e">
        <f ca="1">+IF(AND($D$1=YEAR('Avance Cuantitativo Productos'!J14),'Panel de Control PRODUCTOS'!$D$2="Q1",OR('Avance Cuantitativo Productos'!I14="Mensual",'Avance Cuantitativo Productos'!I14="Bimestral",'Avance Cuantitativo Productos'!I14="Trimestral"),MONTH('Avance Cuantitativo Productos'!J14)&lt;=3,SUM(OFFSET('Avance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PRODUCTOS'!$D$2="Q2",MONTH('Avance Cuantitativo Productos'!J14)&lt;=6,OR('Avance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PRODUCTOS'!$D$2="Q3",MONTH('Avance Cuantitativo Productos'!J14)&lt;=9,OR('Avance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PRODUCTOS'!$D$2="Q4",MONTH('Avance Cuantitativo Productos'!J14)&lt;=12,OR('Avance Cuantitativo Productos'!I14="Mensual",'Avance Cuantitativo Productos'!I14="Bimestral",'Avance Cuantitativo Productos'!I14="Trimestral",'Avance Cuantitativo Productos'!I14="Semestral",'Avance Cuantitativo Productos'!I14="Anual"),SUM(OFFSET('Avance Cuantitativo Productos'!N14,0,0,1,IF($D$2="Q1",_xlfn.XMATCH($D$1,'Avance Cuantitativo Productos'!$N$4:$AS$4,0),IF($D$2="Q2",_xlfn.XMATCH($D$1,'Avance Cuantitativo Productos'!$N$4:$AS$4,0)+1,IF($D$2="Q3",_xlfn.XMATCH($D$1,'Avance Cuantitativo Productos'!$N$4:$AS$4,0)+2,IF($D$2="Q4",_xlfn.XMATCH($D$1,'Avance Cuantitativo Productos'!$N$4:$AS$4,0)+3)))))))=0,"Rojo",IF(F13&gt;=0.75,"Verde",IF(AND(F13&lt;0.75,F13&gt;=0.5),"Amarillo",IF(F13&lt;0.5,"Rojo","ERROR")))))))</f>
        <v>#NAME?</v>
      </c>
      <c r="H13" s="46" t="e" cm="1">
        <f t="array" aca="1" ref="H13" ca="1">+IF(AND(_xlfn.NUMBERVALUE($D$1)&gt;=YEAR('Avance Cuantitativo Productos'!J14),ISERROR('Avance Cuantitativo Productos'!M14)=TRUE,(OR(AND($D$2="Q1",MONTH('Avance Cuantitativo Productos'!J14)&lt;=3,OR('Avance Cuantitativo Productos'!I14="Mensual",'Avance Cuantitativo Productos'!I14="Bimestral",'Avance Cuantitativo Productos'!I14="Trimestral")),AND($D$2="Q2",MONTH('Avance Cuantitativo Productos'!J14)&lt;=6,OR('Avance Cuantitativo Productos'!I14="Mensual",'Avance Cuantitativo Productos'!I14="Bimestral",'Avance Cuantitativo Productos'!I14="Trimestral",'Avance Cuantitativo Productos'!I14="Semestral")),AND($D$2="Q3",MONTH('Avance Cuantitativo Productos'!J14)&lt;=9,OR('Avance Cuantitativo Productos'!I14="Mensual",'Avance Cuantitativo Productos'!I14="Bimestral",'Avance Cuantitativo Productos'!I14="Trimestral",'Avance Cuantitativo Productos'!I14="Semestral")),AND($D$2="Q4",MONTH('Avance Cuantitativo Productos'!J14)&lt;=12,OR('Avance Cuantitativo Productos'!I14="Mensual",'Avance Cuantitativo Productos'!I14="Bimestral",'Avance Cuantitativo Productos'!I14="Trimestral",'Avance Cuantitativo Productos'!I14="Semestral",'Avance Cuantitativo Productos'!I14="Anual"))))),0,_xlfn.XLOOKUP($D$1,TRANSPOSE(Anios_Reporte[Año de Reporte]),_xlfn.XLOOKUP(Panel_Control[[#This Row],[Producto '#]],Info_Productos_Cuantitativo[Producto No.],Avance_Hasta_Vigencia_Productos[])))</f>
        <v>#NAME?</v>
      </c>
      <c r="I13" s="16" t="e">
        <f ca="1">+IF(AND($D$1=YEAR('Avance Cuantitativo Productos'!J14),'Panel de Control PRODUCTOS'!$D$2="Q1",MONTH('Avance Cuantitativo Productos'!J14)&lt;=3,OR('Avance Cuantitativo Productos'!I14="Mensual",'Avance Cuantitativo Productos'!I14="Bimestral",'Avance Cuantitativo Productos'!I14="Trimestral"),SUM(OFFSET('Avance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PRODUCTOS'!$D$2="Q2",MONTH('Avance Cuantitativo Productos'!J14)&lt;=6,OR('Avance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PRODUCTOS'!$D$2="Q3",MONTH('Avance Cuantitativo Productos'!J14)&lt;=9,OR('Avance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PRODUCTOS'!$D$2="Q4",MONTH('Avance Cuantitativo Productos'!J14)&lt;=12,OR('Avance Cuantitativo Productos'!I14="Mensual",'Avance Cuantitativo Productos'!I14="Bimestral",'Avance Cuantitativo Productos'!I14="Trimestral",'Avance Cuantitativo Productos'!I14="Semestral",'Avance Cuantitativo Productos'!I14="Anual"),SUM(OFFSET('Avance Cuantitativo Productos'!N14,0,0,1,IF($D$2="Q1",_xlfn.XMATCH($D$1,'Avance Cuantitativo Productos'!$N$4:$AS$4,0),IF($D$2="Q2",_xlfn.XMATCH($D$1,'Avance Cuantitativo Productos'!$N$4:$AS$4,0)+1,IF($D$2="Q3",_xlfn.XMATCH($D$1,'Avance Cuantitativo Productos'!$N$4:$AS$4,0)+2,IF($D$2="Q4",_xlfn.XMATCH($D$1,'Avance Cuantitativo Productos'!$N$4:$AS$4,0)+3))))))=0),"Rojo",IF(AND(YEAR('Avance Cuantitativo Productos'!J14)&lt;$D$1,ISERROR('Avance Cuantitativo Productos'!M14)=TRUE),"Rojo",IF(AND(YEAR('Avance Cuantitativo Productos'!J14)&gt;$D$1,ISERROR('Avance Cuantitativo Productos'!M14)=TRUE),"Verde",IF(H13&gt;=0.75,"Verde",IF(AND(H13&lt;0.75,H13&gt;=0.5),"Amarillo",IF(H13&lt;0.5,"Rojo")))))))))</f>
        <v>#NAME?</v>
      </c>
      <c r="J13" s="46" t="e" cm="1">
        <f t="array" aca="1" ref="J13" ca="1">+IF(AND(_xlfn.NUMBERVALUE($D$1)&gt;=YEAR('Avance Cuantitativo Productos'!J14),ISERROR('Avance Cuantitativo Productos'!M14)=TRUE,(OR(AND($D$2="Q1",MONTH('Avance Cuantitativo Productos'!J14)&lt;=3,OR('Avance Cuantitativo Productos'!I14="Mensual",'Avance Cuantitativo Productos'!I14="Bimestral",'Avance Cuantitativo Productos'!I14="Trimestral")),AND($D$2="Q2",MONTH('Avance Cuantitativo Productos'!J14)&lt;=6,OR('Avance Cuantitativo Productos'!I14="Mensual",'Avance Cuantitativo Productos'!I14="Bimestral",'Avance Cuantitativo Productos'!I14="Trimestral",'Avance Cuantitativo Productos'!I14="Semestral")),AND($D$2="Q3",MONTH('Avance Cuantitativo Productos'!J14)&lt;=9,OR('Avance Cuantitativo Productos'!I14="Mensual",'Avance Cuantitativo Productos'!I14="Bimestral",'Avance Cuantitativo Productos'!I14="Trimestral",'Avance Cuantitativo Productos'!I14="Semestral")),AND($D$2="Q4",MONTH('Avance Cuantitativo Productos'!J14)&lt;=12,OR('Avance Cuantitativo Productos'!I14="Mensual",'Avance Cuantitativo Productos'!I14="Bimestral",'Avance Cuantitativo Productos'!I14="Trimestral",'Avance Cuantitativo Productos'!I14="Semestral",'Avance Cuantitativo Productos'!I14="Anual"))))),0,_xlfn.XLOOKUP($D$1,TRANSPOSE(Anios_Reporte[Año de Reporte]),_xlfn.XLOOKUP(Panel_Control[[#This Row],[Producto '#]],Info_Productos_Cuantitativo[Producto No.],Avance_Acumulado_Productos[])))</f>
        <v>#NAME?</v>
      </c>
      <c r="K13" s="17" t="e">
        <f ca="1">+IF(AND($D$1=YEAR('Avance Cuantitativo Productos'!J14),'Panel de Control PRODUCTOS'!$D$2="Q1",MONTH('Avance Cuantitativo Productos'!J14)&lt;=3,OR('Avance Cuantitativo Productos'!I14="Mensual",'Avance Cuantitativo Productos'!I14="Bimestral",'Avance Cuantitativo Productos'!I14="Trimestral"),SUM(OFFSET('Avance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PRODUCTOS'!$D$2="Q2",MONTH('Avance Cuantitativo Productos'!J14)&lt;=6,OR('Avance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PRODUCTOS'!$D$2="Q3",MONTH('Avance Cuantitativo Productos'!J14)&lt;=9,OR('Avance Cuantitativo Productos'!I14="Mensual",'Avance Cuantitativo Productos'!I14="Bimestral",'Avance Cuantitativo Productos'!I14="Trimestral",'Avance Cuantitativo Productos'!I14="Semestral"),SUM(OFFSET('Avance Cuantitativo Productos'!N14,0,0,1,IF($D$2="Q1",_xlfn.XMATCH($D$1,'Avance Cuantitativo Productos'!$N$4:$AS$4,0),IF($D$2="Q2",_xlfn.XMATCH($D$1,'Avance Cuantitativo Productos'!$N$4:$AS$4,0)+1,IF($D$2="Q3",_xlfn.XMATCH($D$1,'Avance Cuantitativo Productos'!$N$4:$AS$4,0)+2,IF($D$2="Q4",_xlfn.XMATCH($D$1,'Avance Cuantitativo Productos'!$N$4:$AS$4,0)+3))))))=0),"Rojo",IF(AND($D$1=YEAR('Avance Cuantitativo Productos'!J14),'Panel de Control PRODUCTOS'!$D$2="Q4",MONTH('Avance Cuantitativo Productos'!J14)&lt;=12,OR('Avance Cuantitativo Productos'!I14="Mensual",'Avance Cuantitativo Productos'!I14="Bimestral",'Avance Cuantitativo Productos'!I14="Trimestral",'Avance Cuantitativo Productos'!I14="Semestral",'Avance Cuantitativo Productos'!I14="Anual"),SUM(OFFSET('Avance Cuantitativo Productos'!N14,0,0,1,IF($D$2="Q1",_xlfn.XMATCH($D$1,'Avance Cuantitativo Productos'!$N$4:$AS$4,0),IF($D$2="Q2",_xlfn.XMATCH($D$1,'Avance Cuantitativo Productos'!$N$4:$AS$4,0)+1,IF($D$2="Q3",_xlfn.XMATCH($D$1,'Avance Cuantitativo Productos'!$N$4:$AS$4,0)+2,IF($D$2="Q4",_xlfn.XMATCH($D$1,'Avance Cuantitativo Productos'!$N$4:$AS$4,0)+3))))))=0),"Rojo",IF(AND(YEAR('Avance Cuantitativo Productos'!J14)&lt;$D$1,ISERROR('Avance Cuantitativo Productos'!M14)=TRUE),"Rojo",IF(AND(YEAR('Avance Cuantitativo Productos'!J14)&gt;$D$1,ISERROR('Avance Cuantitativo Productos'!M14)=TRUE),"Verde",IF(J13&gt;=0.75,"Verde",IF(AND(J13&lt;0.75,J13&gt;=0.5),"Amarillo",IF(J13&lt;0.5,"Rojo")))))))))</f>
        <v>#NAME?</v>
      </c>
      <c r="L13" s="46" t="e">
        <f t="shared" ca="1" si="0"/>
        <v>#NAME?</v>
      </c>
      <c r="M13" s="26" t="e">
        <f ca="1">+IF(Panel_Control[[#This Row],[PAV. Ajustado (100%)]]="","",Panel_Control[[#This Row],[PAV. Ajustado (100%)]]*Panel_Control[[#This Row],[Ponderación relativa del Producto (%)]])</f>
        <v>#NAME?</v>
      </c>
      <c r="N13" s="46" t="e">
        <f t="shared" ca="1" si="1"/>
        <v>#NAME?</v>
      </c>
      <c r="O13" s="26" t="e">
        <f ca="1">+IF(Panel_Control[[#This Row],[Porcentaje de Avance Hasta la Vigencia (100%)]]="","",Panel_Control[[#This Row],[Porcentaje de Avance Hasta la Vigencia (100%)]]*Panel_Control[[#This Row],[Ponderación relativa del Producto (%)]])</f>
        <v>#NAME?</v>
      </c>
      <c r="P13" s="46" t="e">
        <f t="shared" ca="1" si="2"/>
        <v>#NAME?</v>
      </c>
      <c r="Q13" s="26" t="e">
        <f ca="1">+IF(Panel_Control[[#This Row],[PAA. (100%)]]="","",Panel_Control[[#This Row],[PAA. (100%)]]*Panel_Control[[#This Row],[Ponderación relativa del Producto (%)]])</f>
        <v>#NAME?</v>
      </c>
      <c r="R13" s="47" cm="1">
        <f t="array" ref="R13">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0.65990474510495678</v>
      </c>
      <c r="S13" s="26">
        <f>+Panel_Control[[#This Row],[Trayectoria Acumulada (Avance ideal)]]*Panel_Control[[#This Row],[Ponderación relativa del Producto (%)]]</f>
        <v>1.3198094902099135E-2</v>
      </c>
    </row>
    <row r="14" spans="1:19" ht="28.8" x14ac:dyDescent="0.3">
      <c r="A14" s="16">
        <f>+'Avance Cuantitativo Productos'!A15</f>
        <v>10</v>
      </c>
      <c r="B14" s="16" t="str">
        <f>+'Avance Cuantitativo Productos'!B15</f>
        <v>1.</v>
      </c>
      <c r="C14" s="44" t="str">
        <f>+'Avance Cuantitativo Productos'!C15</f>
        <v>1.1.10 Formación de dinamizadores en el Diplomado del Programa de Naturaleza, Salud y Cultura</v>
      </c>
      <c r="D14" s="44" t="str">
        <f>+'Avance Cuantitativo Productos'!E15</f>
        <v>Ambiente</v>
      </c>
      <c r="E14" s="45">
        <f>IF(ISNA('Avance Cuantitativo Productos'!M15)=FALSE,'Avance Cuantitativo Productos'!F15,IF($D$1&gt;YEAR('Avance Cuantitativo Productos'!J15),'Avance Cuantitativo Productos'!F15,IF($D$1&lt;YEAR('Avance Cuantitativo Productos'!J15),0,IF(AND($D$1=YEAR('Avance Cuantitativo Productos'!J15),$D$2="Q1",OR('Avance Cuantitativo Productos'!I15&lt;&gt;"Mensual",'Avance Cuantitativo Productos'!I15&lt;&gt;"Bimestral",'Avance Cuantitativo Productos'!I15&lt;&gt;"Trimestral")),0,IF(AND($D$1=YEAR('Avance Cuantitativo Productos'!J15),$D$2="Q2",OR('Avance Cuantitativo Productos'!I15&lt;&gt;"Mensual",'Avance Cuantitativo Productos'!I15&lt;&gt;"Bimestral",'Avance Cuantitativo Productos'!I15&lt;&gt;"Trimestral",'Avance Cuantitativo Productos'!I15&lt;&gt;"Semestral")),0,IF(AND($D$1=YEAR('Avance Cuantitativo Productos'!J15),$D$2="Q3",OR('Avance Cuantitativo Productos'!I15&lt;&gt;"Mensual",'Avance Cuantitativo Productos'!I15&lt;&gt;"Bimestral",'Avance Cuantitativo Productos'!I15&lt;&gt;"Trimestral",'Avance Cuantitativo Productos'!I15&lt;&gt;"Semestral")),0,IF(AND($D$1=YEAR('Avance Cuantitativo Productos'!J15),$D$2="Q4",OR('Avance Cuantitativo Productos'!I15&lt;&gt;"Mensual",'Avance Cuantitativo Productos'!I15&lt;&gt;"Bimestral",'Avance Cuantitativo Productos'!I15&lt;&gt;"Trimestral",'Avance Cuantitativo Productos'!I15&lt;&gt;"Semestral",'Avance Cuantitativo Productos'!I15&lt;&gt;"Anual")),0,'Avance Cuantitativo Productos'!F15)))))))</f>
        <v>0.02</v>
      </c>
      <c r="F14" s="46" t="e" cm="1">
        <f t="array" aca="1" ref="F14" ca="1">+IF(AND(_xlfn.NUMBERVALUE($D$1)&gt;=YEAR('Avance Cuantitativo Productos'!J15),ISERROR('Avance Cuantitativo Productos'!M15)=TRUE,(OR(AND($D$2="Q1",MONTH('Avance Cuantitativo Productos'!J15)&lt;=3,OR('Avance Cuantitativo Productos'!I15="Mensual",'Avance Cuantitativo Productos'!I15="Bimestral",'Avance Cuantitativo Productos'!I15="Trimestral")),AND($D$2="Q2",MONTH('Avance Cuantitativo Productos'!J15)&lt;=6,OR('Avance Cuantitativo Productos'!I15="Mensual",'Avance Cuantitativo Productos'!I15="Bimestral",'Avance Cuantitativo Productos'!I15="Trimestral",'Avance Cuantitativo Productos'!I15="Semestral")),AND($D$2="Q3",MONTH('Avance Cuantitativo Productos'!J15)&lt;=9,OR('Avance Cuantitativo Productos'!I15="Mensual",'Avance Cuantitativo Productos'!I15="Bimestral",'Avance Cuantitativo Productos'!I15="Trimestral",'Avance Cuantitativo Productos'!I15="Semestral")),AND($D$2="Q4",MONTH('Avance Cuantitativo Productos'!J15)&lt;=12,OR('Avance Cuantitativo Productos'!I15="Mensual",'Avance Cuantitativo Productos'!I15="Bimestral",'Avance Cuantitativo Productos'!I15="Trimestral",'Avance Cuantitativo Productos'!I15="Semestral",'Avance Cuantitativo Productos'!I15="Anual"))))),0,_xlfn.XLOOKUP($D$1,TRANSPOSE(Anios_Reporte[Año de Reporte]),_xlfn.XLOOKUP(Panel_Control[[#This Row],[Producto '#]],Info_Productos_Cuantitativo[Producto No.],Avance_en_Vigencia_Productos[])))</f>
        <v>#NAME?</v>
      </c>
      <c r="G14" s="17" t="e">
        <f ca="1">+IF(AND($D$1=YEAR('Avance Cuantitativo Productos'!J15),'Panel de Control PRODUCTOS'!$D$2="Q1",OR('Avance Cuantitativo Productos'!I15="Mensual",'Avance Cuantitativo Productos'!I15="Bimestral",'Avance Cuantitativo Productos'!I15="Trimestral"),MONTH('Avance Cuantitativo Productos'!J15)&lt;=3,SUM(OFFSET('Avance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PRODUCTOS'!$D$2="Q2",MONTH('Avance Cuantitativo Productos'!J15)&lt;=6,OR('Avance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PRODUCTOS'!$D$2="Q3",MONTH('Avance Cuantitativo Productos'!J15)&lt;=9,OR('Avance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PRODUCTOS'!$D$2="Q4",MONTH('Avance Cuantitativo Productos'!J15)&lt;=12,OR('Avance Cuantitativo Productos'!I15="Mensual",'Avance Cuantitativo Productos'!I15="Bimestral",'Avance Cuantitativo Productos'!I15="Trimestral",'Avance Cuantitativo Productos'!I15="Semestral",'Avance Cuantitativo Productos'!I15="Anual"),SUM(OFFSET('Avance Cuantitativo Productos'!N15,0,0,1,IF($D$2="Q1",_xlfn.XMATCH($D$1,'Avance Cuantitativo Productos'!$N$4:$AS$4,0),IF($D$2="Q2",_xlfn.XMATCH($D$1,'Avance Cuantitativo Productos'!$N$4:$AS$4,0)+1,IF($D$2="Q3",_xlfn.XMATCH($D$1,'Avance Cuantitativo Productos'!$N$4:$AS$4,0)+2,IF($D$2="Q4",_xlfn.XMATCH($D$1,'Avance Cuantitativo Productos'!$N$4:$AS$4,0)+3)))))))=0,"Rojo",IF(F14&gt;=0.75,"Verde",IF(AND(F14&lt;0.75,F14&gt;=0.5),"Amarillo",IF(F14&lt;0.5,"Rojo","ERROR")))))))</f>
        <v>#NAME?</v>
      </c>
      <c r="H14" s="46" t="e" cm="1">
        <f t="array" aca="1" ref="H14" ca="1">+IF(AND(_xlfn.NUMBERVALUE($D$1)&gt;=YEAR('Avance Cuantitativo Productos'!J15),ISERROR('Avance Cuantitativo Productos'!M15)=TRUE,(OR(AND($D$2="Q1",MONTH('Avance Cuantitativo Productos'!J15)&lt;=3,OR('Avance Cuantitativo Productos'!I15="Mensual",'Avance Cuantitativo Productos'!I15="Bimestral",'Avance Cuantitativo Productos'!I15="Trimestral")),AND($D$2="Q2",MONTH('Avance Cuantitativo Productos'!J15)&lt;=6,OR('Avance Cuantitativo Productos'!I15="Mensual",'Avance Cuantitativo Productos'!I15="Bimestral",'Avance Cuantitativo Productos'!I15="Trimestral",'Avance Cuantitativo Productos'!I15="Semestral")),AND($D$2="Q3",MONTH('Avance Cuantitativo Productos'!J15)&lt;=9,OR('Avance Cuantitativo Productos'!I15="Mensual",'Avance Cuantitativo Productos'!I15="Bimestral",'Avance Cuantitativo Productos'!I15="Trimestral",'Avance Cuantitativo Productos'!I15="Semestral")),AND($D$2="Q4",MONTH('Avance Cuantitativo Productos'!J15)&lt;=12,OR('Avance Cuantitativo Productos'!I15="Mensual",'Avance Cuantitativo Productos'!I15="Bimestral",'Avance Cuantitativo Productos'!I15="Trimestral",'Avance Cuantitativo Productos'!I15="Semestral",'Avance Cuantitativo Productos'!I15="Anual"))))),0,_xlfn.XLOOKUP($D$1,TRANSPOSE(Anios_Reporte[Año de Reporte]),_xlfn.XLOOKUP(Panel_Control[[#This Row],[Producto '#]],Info_Productos_Cuantitativo[Producto No.],Avance_Hasta_Vigencia_Productos[])))</f>
        <v>#NAME?</v>
      </c>
      <c r="I14" s="16" t="e">
        <f ca="1">+IF(AND($D$1=YEAR('Avance Cuantitativo Productos'!J15),'Panel de Control PRODUCTOS'!$D$2="Q1",MONTH('Avance Cuantitativo Productos'!J15)&lt;=3,OR('Avance Cuantitativo Productos'!I15="Mensual",'Avance Cuantitativo Productos'!I15="Bimestral",'Avance Cuantitativo Productos'!I15="Trimestral"),SUM(OFFSET('Avance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PRODUCTOS'!$D$2="Q2",MONTH('Avance Cuantitativo Productos'!J15)&lt;=6,OR('Avance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PRODUCTOS'!$D$2="Q3",MONTH('Avance Cuantitativo Productos'!J15)&lt;=9,OR('Avance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PRODUCTOS'!$D$2="Q4",MONTH('Avance Cuantitativo Productos'!J15)&lt;=12,OR('Avance Cuantitativo Productos'!I15="Mensual",'Avance Cuantitativo Productos'!I15="Bimestral",'Avance Cuantitativo Productos'!I15="Trimestral",'Avance Cuantitativo Productos'!I15="Semestral",'Avance Cuantitativo Productos'!I15="Anual"),SUM(OFFSET('Avance Cuantitativo Productos'!N15,0,0,1,IF($D$2="Q1",_xlfn.XMATCH($D$1,'Avance Cuantitativo Productos'!$N$4:$AS$4,0),IF($D$2="Q2",_xlfn.XMATCH($D$1,'Avance Cuantitativo Productos'!$N$4:$AS$4,0)+1,IF($D$2="Q3",_xlfn.XMATCH($D$1,'Avance Cuantitativo Productos'!$N$4:$AS$4,0)+2,IF($D$2="Q4",_xlfn.XMATCH($D$1,'Avance Cuantitativo Productos'!$N$4:$AS$4,0)+3))))))=0),"Rojo",IF(AND(YEAR('Avance Cuantitativo Productos'!J15)&lt;$D$1,ISERROR('Avance Cuantitativo Productos'!M15)=TRUE),"Rojo",IF(AND(YEAR('Avance Cuantitativo Productos'!J15)&gt;$D$1,ISERROR('Avance Cuantitativo Productos'!M15)=TRUE),"Verde",IF(H14&gt;=0.75,"Verde",IF(AND(H14&lt;0.75,H14&gt;=0.5),"Amarillo",IF(H14&lt;0.5,"Rojo")))))))))</f>
        <v>#NAME?</v>
      </c>
      <c r="J14" s="46" t="e" cm="1">
        <f t="array" aca="1" ref="J14" ca="1">+IF(AND(_xlfn.NUMBERVALUE($D$1)&gt;=YEAR('Avance Cuantitativo Productos'!J15),ISERROR('Avance Cuantitativo Productos'!M15)=TRUE,(OR(AND($D$2="Q1",MONTH('Avance Cuantitativo Productos'!J15)&lt;=3,OR('Avance Cuantitativo Productos'!I15="Mensual",'Avance Cuantitativo Productos'!I15="Bimestral",'Avance Cuantitativo Productos'!I15="Trimestral")),AND($D$2="Q2",MONTH('Avance Cuantitativo Productos'!J15)&lt;=6,OR('Avance Cuantitativo Productos'!I15="Mensual",'Avance Cuantitativo Productos'!I15="Bimestral",'Avance Cuantitativo Productos'!I15="Trimestral",'Avance Cuantitativo Productos'!I15="Semestral")),AND($D$2="Q3",MONTH('Avance Cuantitativo Productos'!J15)&lt;=9,OR('Avance Cuantitativo Productos'!I15="Mensual",'Avance Cuantitativo Productos'!I15="Bimestral",'Avance Cuantitativo Productos'!I15="Trimestral",'Avance Cuantitativo Productos'!I15="Semestral")),AND($D$2="Q4",MONTH('Avance Cuantitativo Productos'!J15)&lt;=12,OR('Avance Cuantitativo Productos'!I15="Mensual",'Avance Cuantitativo Productos'!I15="Bimestral",'Avance Cuantitativo Productos'!I15="Trimestral",'Avance Cuantitativo Productos'!I15="Semestral",'Avance Cuantitativo Productos'!I15="Anual"))))),0,_xlfn.XLOOKUP($D$1,TRANSPOSE(Anios_Reporte[Año de Reporte]),_xlfn.XLOOKUP(Panel_Control[[#This Row],[Producto '#]],Info_Productos_Cuantitativo[Producto No.],Avance_Acumulado_Productos[])))</f>
        <v>#NAME?</v>
      </c>
      <c r="K14" s="17" t="e">
        <f ca="1">+IF(AND($D$1=YEAR('Avance Cuantitativo Productos'!J15),'Panel de Control PRODUCTOS'!$D$2="Q1",MONTH('Avance Cuantitativo Productos'!J15)&lt;=3,OR('Avance Cuantitativo Productos'!I15="Mensual",'Avance Cuantitativo Productos'!I15="Bimestral",'Avance Cuantitativo Productos'!I15="Trimestral"),SUM(OFFSET('Avance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PRODUCTOS'!$D$2="Q2",MONTH('Avance Cuantitativo Productos'!J15)&lt;=6,OR('Avance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PRODUCTOS'!$D$2="Q3",MONTH('Avance Cuantitativo Productos'!J15)&lt;=9,OR('Avance Cuantitativo Productos'!I15="Mensual",'Avance Cuantitativo Productos'!I15="Bimestral",'Avance Cuantitativo Productos'!I15="Trimestral",'Avance Cuantitativo Productos'!I15="Semestral"),SUM(OFFSET('Avance Cuantitativo Productos'!N15,0,0,1,IF($D$2="Q1",_xlfn.XMATCH($D$1,'Avance Cuantitativo Productos'!$N$4:$AS$4,0),IF($D$2="Q2",_xlfn.XMATCH($D$1,'Avance Cuantitativo Productos'!$N$4:$AS$4,0)+1,IF($D$2="Q3",_xlfn.XMATCH($D$1,'Avance Cuantitativo Productos'!$N$4:$AS$4,0)+2,IF($D$2="Q4",_xlfn.XMATCH($D$1,'Avance Cuantitativo Productos'!$N$4:$AS$4,0)+3))))))=0),"Rojo",IF(AND($D$1=YEAR('Avance Cuantitativo Productos'!J15),'Panel de Control PRODUCTOS'!$D$2="Q4",MONTH('Avance Cuantitativo Productos'!J15)&lt;=12,OR('Avance Cuantitativo Productos'!I15="Mensual",'Avance Cuantitativo Productos'!I15="Bimestral",'Avance Cuantitativo Productos'!I15="Trimestral",'Avance Cuantitativo Productos'!I15="Semestral",'Avance Cuantitativo Productos'!I15="Anual"),SUM(OFFSET('Avance Cuantitativo Productos'!N15,0,0,1,IF($D$2="Q1",_xlfn.XMATCH($D$1,'Avance Cuantitativo Productos'!$N$4:$AS$4,0),IF($D$2="Q2",_xlfn.XMATCH($D$1,'Avance Cuantitativo Productos'!$N$4:$AS$4,0)+1,IF($D$2="Q3",_xlfn.XMATCH($D$1,'Avance Cuantitativo Productos'!$N$4:$AS$4,0)+2,IF($D$2="Q4",_xlfn.XMATCH($D$1,'Avance Cuantitativo Productos'!$N$4:$AS$4,0)+3))))))=0),"Rojo",IF(AND(YEAR('Avance Cuantitativo Productos'!J15)&lt;$D$1,ISERROR('Avance Cuantitativo Productos'!M15)=TRUE),"Rojo",IF(AND(YEAR('Avance Cuantitativo Productos'!J15)&gt;$D$1,ISERROR('Avance Cuantitativo Productos'!M15)=TRUE),"Verde",IF(J14&gt;=0.75,"Verde",IF(AND(J14&lt;0.75,J14&gt;=0.5),"Amarillo",IF(J14&lt;0.5,"Rojo")))))))))</f>
        <v>#NAME?</v>
      </c>
      <c r="L14" s="46" t="e">
        <f t="shared" ca="1" si="0"/>
        <v>#NAME?</v>
      </c>
      <c r="M14" s="26" t="e">
        <f ca="1">+IF(Panel_Control[[#This Row],[PAV. Ajustado (100%)]]="","",Panel_Control[[#This Row],[PAV. Ajustado (100%)]]*Panel_Control[[#This Row],[Ponderación relativa del Producto (%)]])</f>
        <v>#NAME?</v>
      </c>
      <c r="N14" s="46" t="e">
        <f t="shared" ca="1" si="1"/>
        <v>#NAME?</v>
      </c>
      <c r="O14" s="26" t="e">
        <f ca="1">+IF(Panel_Control[[#This Row],[Porcentaje de Avance Hasta la Vigencia (100%)]]="","",Panel_Control[[#This Row],[Porcentaje de Avance Hasta la Vigencia (100%)]]*Panel_Control[[#This Row],[Ponderación relativa del Producto (%)]])</f>
        <v>#NAME?</v>
      </c>
      <c r="P14" s="46" t="e">
        <f t="shared" ca="1" si="2"/>
        <v>#NAME?</v>
      </c>
      <c r="Q14" s="26" t="e">
        <f ca="1">+IF(Panel_Control[[#This Row],[PAA. (100%)]]="","",Panel_Control[[#This Row],[PAA. (100%)]]*Panel_Control[[#This Row],[Ponderación relativa del Producto (%)]])</f>
        <v>#NAME?</v>
      </c>
      <c r="R14" s="47" cm="1">
        <f t="array" ref="R14">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0.27272727272727271</v>
      </c>
      <c r="S14" s="26">
        <f>+Panel_Control[[#This Row],[Trayectoria Acumulada (Avance ideal)]]*Panel_Control[[#This Row],[Ponderación relativa del Producto (%)]]</f>
        <v>5.4545454545454541E-3</v>
      </c>
    </row>
    <row r="15" spans="1:19" ht="43.2" x14ac:dyDescent="0.3">
      <c r="A15" s="16">
        <f>+'Avance Cuantitativo Productos'!A16</f>
        <v>11</v>
      </c>
      <c r="B15" s="16" t="str">
        <f>+'Avance Cuantitativo Productos'!B16</f>
        <v>1.</v>
      </c>
      <c r="C15" s="44" t="str">
        <f>+'Avance Cuantitativo Productos'!C16</f>
        <v>1.1.11 Articulaciòn de Regiòn RAP-E y Regiòn Metropolitana Bogotá-Cundinamarca para incentivar el deporte la recreaciòn la actividad fìsica y el turismo en torno al uso de la bicicleta de montaña</v>
      </c>
      <c r="D15" s="44" t="str">
        <f>+'Avance Cuantitativo Productos'!E16</f>
        <v xml:space="preserve">Cultura, Recreación y Deporte </v>
      </c>
      <c r="E15" s="45">
        <f>IF(ISNA('Avance Cuantitativo Productos'!M16)=FALSE,'Avance Cuantitativo Productos'!F16,IF($D$1&gt;YEAR('Avance Cuantitativo Productos'!J16),'Avance Cuantitativo Productos'!F16,IF($D$1&lt;YEAR('Avance Cuantitativo Productos'!J16),0,IF(AND($D$1=YEAR('Avance Cuantitativo Productos'!J16),$D$2="Q1",OR('Avance Cuantitativo Productos'!I16&lt;&gt;"Mensual",'Avance Cuantitativo Productos'!I16&lt;&gt;"Bimestral",'Avance Cuantitativo Productos'!I16&lt;&gt;"Trimestral")),0,IF(AND($D$1=YEAR('Avance Cuantitativo Productos'!J16),$D$2="Q2",OR('Avance Cuantitativo Productos'!I16&lt;&gt;"Mensual",'Avance Cuantitativo Productos'!I16&lt;&gt;"Bimestral",'Avance Cuantitativo Productos'!I16&lt;&gt;"Trimestral",'Avance Cuantitativo Productos'!I16&lt;&gt;"Semestral")),0,IF(AND($D$1=YEAR('Avance Cuantitativo Productos'!J16),$D$2="Q3",OR('Avance Cuantitativo Productos'!I16&lt;&gt;"Mensual",'Avance Cuantitativo Productos'!I16&lt;&gt;"Bimestral",'Avance Cuantitativo Productos'!I16&lt;&gt;"Trimestral",'Avance Cuantitativo Productos'!I16&lt;&gt;"Semestral")),0,IF(AND($D$1=YEAR('Avance Cuantitativo Productos'!J16),$D$2="Q4",OR('Avance Cuantitativo Productos'!I16&lt;&gt;"Mensual",'Avance Cuantitativo Productos'!I16&lt;&gt;"Bimestral",'Avance Cuantitativo Productos'!I16&lt;&gt;"Trimestral",'Avance Cuantitativo Productos'!I16&lt;&gt;"Semestral",'Avance Cuantitativo Productos'!I16&lt;&gt;"Anual")),0,'Avance Cuantitativo Productos'!F16)))))))</f>
        <v>0.02</v>
      </c>
      <c r="F15" s="46" t="e" cm="1">
        <f t="array" aca="1" ref="F15" ca="1">+IF(AND(_xlfn.NUMBERVALUE($D$1)&gt;=YEAR('Avance Cuantitativo Productos'!J16),ISERROR('Avance Cuantitativo Productos'!M16)=TRUE,(OR(AND($D$2="Q1",MONTH('Avance Cuantitativo Productos'!J16)&lt;=3,OR('Avance Cuantitativo Productos'!I16="Mensual",'Avance Cuantitativo Productos'!I16="Bimestral",'Avance Cuantitativo Productos'!I16="Trimestral")),AND($D$2="Q2",MONTH('Avance Cuantitativo Productos'!J16)&lt;=6,OR('Avance Cuantitativo Productos'!I16="Mensual",'Avance Cuantitativo Productos'!I16="Bimestral",'Avance Cuantitativo Productos'!I16="Trimestral",'Avance Cuantitativo Productos'!I16="Semestral")),AND($D$2="Q3",MONTH('Avance Cuantitativo Productos'!J16)&lt;=9,OR('Avance Cuantitativo Productos'!I16="Mensual",'Avance Cuantitativo Productos'!I16="Bimestral",'Avance Cuantitativo Productos'!I16="Trimestral",'Avance Cuantitativo Productos'!I16="Semestral")),AND($D$2="Q4",MONTH('Avance Cuantitativo Productos'!J16)&lt;=12,OR('Avance Cuantitativo Productos'!I16="Mensual",'Avance Cuantitativo Productos'!I16="Bimestral",'Avance Cuantitativo Productos'!I16="Trimestral",'Avance Cuantitativo Productos'!I16="Semestral",'Avance Cuantitativo Productos'!I16="Anual"))))),0,_xlfn.XLOOKUP($D$1,TRANSPOSE(Anios_Reporte[Año de Reporte]),_xlfn.XLOOKUP(Panel_Control[[#This Row],[Producto '#]],Info_Productos_Cuantitativo[Producto No.],Avance_en_Vigencia_Productos[])))</f>
        <v>#NAME?</v>
      </c>
      <c r="G15" s="17" t="e">
        <f ca="1">+IF(AND($D$1=YEAR('Avance Cuantitativo Productos'!J16),'Panel de Control PRODUCTOS'!$D$2="Q1",OR('Avance Cuantitativo Productos'!I16="Mensual",'Avance Cuantitativo Productos'!I16="Bimestral",'Avance Cuantitativo Productos'!I16="Trimestral"),MONTH('Avance Cuantitativo Productos'!J16)&lt;=3,SUM(OFFSET('Avance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PRODUCTOS'!$D$2="Q2",MONTH('Avance Cuantitativo Productos'!J16)&lt;=6,OR('Avance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PRODUCTOS'!$D$2="Q3",MONTH('Avance Cuantitativo Productos'!J16)&lt;=9,OR('Avance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PRODUCTOS'!$D$2="Q4",MONTH('Avance Cuantitativo Productos'!J16)&lt;=12,OR('Avance Cuantitativo Productos'!I16="Mensual",'Avance Cuantitativo Productos'!I16="Bimestral",'Avance Cuantitativo Productos'!I16="Trimestral",'Avance Cuantitativo Productos'!I16="Semestral",'Avance Cuantitativo Productos'!I16="Anual"),SUM(OFFSET('Avance Cuantitativo Productos'!N16,0,0,1,IF($D$2="Q1",_xlfn.XMATCH($D$1,'Avance Cuantitativo Productos'!$N$4:$AS$4,0),IF($D$2="Q2",_xlfn.XMATCH($D$1,'Avance Cuantitativo Productos'!$N$4:$AS$4,0)+1,IF($D$2="Q3",_xlfn.XMATCH($D$1,'Avance Cuantitativo Productos'!$N$4:$AS$4,0)+2,IF($D$2="Q4",_xlfn.XMATCH($D$1,'Avance Cuantitativo Productos'!$N$4:$AS$4,0)+3)))))))=0,"Rojo",IF(F15&gt;=0.75,"Verde",IF(AND(F15&lt;0.75,F15&gt;=0.5),"Amarillo",IF(F15&lt;0.5,"Rojo","ERROR")))))))</f>
        <v>#NAME?</v>
      </c>
      <c r="H15" s="46" t="e" cm="1">
        <f t="array" aca="1" ref="H15" ca="1">+IF(AND(_xlfn.NUMBERVALUE($D$1)&gt;=YEAR('Avance Cuantitativo Productos'!J16),ISERROR('Avance Cuantitativo Productos'!M16)=TRUE,(OR(AND($D$2="Q1",MONTH('Avance Cuantitativo Productos'!J16)&lt;=3,OR('Avance Cuantitativo Productos'!I16="Mensual",'Avance Cuantitativo Productos'!I16="Bimestral",'Avance Cuantitativo Productos'!I16="Trimestral")),AND($D$2="Q2",MONTH('Avance Cuantitativo Productos'!J16)&lt;=6,OR('Avance Cuantitativo Productos'!I16="Mensual",'Avance Cuantitativo Productos'!I16="Bimestral",'Avance Cuantitativo Productos'!I16="Trimestral",'Avance Cuantitativo Productos'!I16="Semestral")),AND($D$2="Q3",MONTH('Avance Cuantitativo Productos'!J16)&lt;=9,OR('Avance Cuantitativo Productos'!I16="Mensual",'Avance Cuantitativo Productos'!I16="Bimestral",'Avance Cuantitativo Productos'!I16="Trimestral",'Avance Cuantitativo Productos'!I16="Semestral")),AND($D$2="Q4",MONTH('Avance Cuantitativo Productos'!J16)&lt;=12,OR('Avance Cuantitativo Productos'!I16="Mensual",'Avance Cuantitativo Productos'!I16="Bimestral",'Avance Cuantitativo Productos'!I16="Trimestral",'Avance Cuantitativo Productos'!I16="Semestral",'Avance Cuantitativo Productos'!I16="Anual"))))),0,_xlfn.XLOOKUP($D$1,TRANSPOSE(Anios_Reporte[Año de Reporte]),_xlfn.XLOOKUP(Panel_Control[[#This Row],[Producto '#]],Info_Productos_Cuantitativo[Producto No.],Avance_Hasta_Vigencia_Productos[])))</f>
        <v>#NAME?</v>
      </c>
      <c r="I15" s="16" t="e">
        <f ca="1">+IF(AND($D$1=YEAR('Avance Cuantitativo Productos'!J16),'Panel de Control PRODUCTOS'!$D$2="Q1",MONTH('Avance Cuantitativo Productos'!J16)&lt;=3,OR('Avance Cuantitativo Productos'!I16="Mensual",'Avance Cuantitativo Productos'!I16="Bimestral",'Avance Cuantitativo Productos'!I16="Trimestral"),SUM(OFFSET('Avance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PRODUCTOS'!$D$2="Q2",MONTH('Avance Cuantitativo Productos'!J16)&lt;=6,OR('Avance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PRODUCTOS'!$D$2="Q3",MONTH('Avance Cuantitativo Productos'!J16)&lt;=9,OR('Avance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PRODUCTOS'!$D$2="Q4",MONTH('Avance Cuantitativo Productos'!J16)&lt;=12,OR('Avance Cuantitativo Productos'!I16="Mensual",'Avance Cuantitativo Productos'!I16="Bimestral",'Avance Cuantitativo Productos'!I16="Trimestral",'Avance Cuantitativo Productos'!I16="Semestral",'Avance Cuantitativo Productos'!I16="Anual"),SUM(OFFSET('Avance Cuantitativo Productos'!N16,0,0,1,IF($D$2="Q1",_xlfn.XMATCH($D$1,'Avance Cuantitativo Productos'!$N$4:$AS$4,0),IF($D$2="Q2",_xlfn.XMATCH($D$1,'Avance Cuantitativo Productos'!$N$4:$AS$4,0)+1,IF($D$2="Q3",_xlfn.XMATCH($D$1,'Avance Cuantitativo Productos'!$N$4:$AS$4,0)+2,IF($D$2="Q4",_xlfn.XMATCH($D$1,'Avance Cuantitativo Productos'!$N$4:$AS$4,0)+3))))))=0),"Rojo",IF(AND(YEAR('Avance Cuantitativo Productos'!J16)&lt;$D$1,ISERROR('Avance Cuantitativo Productos'!M16)=TRUE),"Rojo",IF(AND(YEAR('Avance Cuantitativo Productos'!J16)&gt;$D$1,ISERROR('Avance Cuantitativo Productos'!M16)=TRUE),"Verde",IF(H15&gt;=0.75,"Verde",IF(AND(H15&lt;0.75,H15&gt;=0.5),"Amarillo",IF(H15&lt;0.5,"Rojo")))))))))</f>
        <v>#NAME?</v>
      </c>
      <c r="J15" s="46" t="e" cm="1">
        <f t="array" aca="1" ref="J15" ca="1">+IF(AND(_xlfn.NUMBERVALUE($D$1)&gt;=YEAR('Avance Cuantitativo Productos'!J16),ISERROR('Avance Cuantitativo Productos'!M16)=TRUE,(OR(AND($D$2="Q1",MONTH('Avance Cuantitativo Productos'!J16)&lt;=3,OR('Avance Cuantitativo Productos'!I16="Mensual",'Avance Cuantitativo Productos'!I16="Bimestral",'Avance Cuantitativo Productos'!I16="Trimestral")),AND($D$2="Q2",MONTH('Avance Cuantitativo Productos'!J16)&lt;=6,OR('Avance Cuantitativo Productos'!I16="Mensual",'Avance Cuantitativo Productos'!I16="Bimestral",'Avance Cuantitativo Productos'!I16="Trimestral",'Avance Cuantitativo Productos'!I16="Semestral")),AND($D$2="Q3",MONTH('Avance Cuantitativo Productos'!J16)&lt;=9,OR('Avance Cuantitativo Productos'!I16="Mensual",'Avance Cuantitativo Productos'!I16="Bimestral",'Avance Cuantitativo Productos'!I16="Trimestral",'Avance Cuantitativo Productos'!I16="Semestral")),AND($D$2="Q4",MONTH('Avance Cuantitativo Productos'!J16)&lt;=12,OR('Avance Cuantitativo Productos'!I16="Mensual",'Avance Cuantitativo Productos'!I16="Bimestral",'Avance Cuantitativo Productos'!I16="Trimestral",'Avance Cuantitativo Productos'!I16="Semestral",'Avance Cuantitativo Productos'!I16="Anual"))))),0,_xlfn.XLOOKUP($D$1,TRANSPOSE(Anios_Reporte[Año de Reporte]),_xlfn.XLOOKUP(Panel_Control[[#This Row],[Producto '#]],Info_Productos_Cuantitativo[Producto No.],Avance_Acumulado_Productos[])))</f>
        <v>#NAME?</v>
      </c>
      <c r="K15" s="17" t="e">
        <f ca="1">+IF(AND($D$1=YEAR('Avance Cuantitativo Productos'!J16),'Panel de Control PRODUCTOS'!$D$2="Q1",MONTH('Avance Cuantitativo Productos'!J16)&lt;=3,OR('Avance Cuantitativo Productos'!I16="Mensual",'Avance Cuantitativo Productos'!I16="Bimestral",'Avance Cuantitativo Productos'!I16="Trimestral"),SUM(OFFSET('Avance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PRODUCTOS'!$D$2="Q2",MONTH('Avance Cuantitativo Productos'!J16)&lt;=6,OR('Avance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PRODUCTOS'!$D$2="Q3",MONTH('Avance Cuantitativo Productos'!J16)&lt;=9,OR('Avance Cuantitativo Productos'!I16="Mensual",'Avance Cuantitativo Productos'!I16="Bimestral",'Avance Cuantitativo Productos'!I16="Trimestral",'Avance Cuantitativo Productos'!I16="Semestral"),SUM(OFFSET('Avance Cuantitativo Productos'!N16,0,0,1,IF($D$2="Q1",_xlfn.XMATCH($D$1,'Avance Cuantitativo Productos'!$N$4:$AS$4,0),IF($D$2="Q2",_xlfn.XMATCH($D$1,'Avance Cuantitativo Productos'!$N$4:$AS$4,0)+1,IF($D$2="Q3",_xlfn.XMATCH($D$1,'Avance Cuantitativo Productos'!$N$4:$AS$4,0)+2,IF($D$2="Q4",_xlfn.XMATCH($D$1,'Avance Cuantitativo Productos'!$N$4:$AS$4,0)+3))))))=0),"Rojo",IF(AND($D$1=YEAR('Avance Cuantitativo Productos'!J16),'Panel de Control PRODUCTOS'!$D$2="Q4",MONTH('Avance Cuantitativo Productos'!J16)&lt;=12,OR('Avance Cuantitativo Productos'!I16="Mensual",'Avance Cuantitativo Productos'!I16="Bimestral",'Avance Cuantitativo Productos'!I16="Trimestral",'Avance Cuantitativo Productos'!I16="Semestral",'Avance Cuantitativo Productos'!I16="Anual"),SUM(OFFSET('Avance Cuantitativo Productos'!N16,0,0,1,IF($D$2="Q1",_xlfn.XMATCH($D$1,'Avance Cuantitativo Productos'!$N$4:$AS$4,0),IF($D$2="Q2",_xlfn.XMATCH($D$1,'Avance Cuantitativo Productos'!$N$4:$AS$4,0)+1,IF($D$2="Q3",_xlfn.XMATCH($D$1,'Avance Cuantitativo Productos'!$N$4:$AS$4,0)+2,IF($D$2="Q4",_xlfn.XMATCH($D$1,'Avance Cuantitativo Productos'!$N$4:$AS$4,0)+3))))))=0),"Rojo",IF(AND(YEAR('Avance Cuantitativo Productos'!J16)&lt;$D$1,ISERROR('Avance Cuantitativo Productos'!M16)=TRUE),"Rojo",IF(AND(YEAR('Avance Cuantitativo Productos'!J16)&gt;$D$1,ISERROR('Avance Cuantitativo Productos'!M16)=TRUE),"Verde",IF(J15&gt;=0.75,"Verde",IF(AND(J15&lt;0.75,J15&gt;=0.5),"Amarillo",IF(J15&lt;0.5,"Rojo")))))))))</f>
        <v>#NAME?</v>
      </c>
      <c r="L15" s="46" t="e">
        <f t="shared" ca="1" si="0"/>
        <v>#NAME?</v>
      </c>
      <c r="M15" s="26" t="e">
        <f ca="1">+IF(Panel_Control[[#This Row],[PAV. Ajustado (100%)]]="","",Panel_Control[[#This Row],[PAV. Ajustado (100%)]]*Panel_Control[[#This Row],[Ponderación relativa del Producto (%)]])</f>
        <v>#NAME?</v>
      </c>
      <c r="N15" s="46" t="e">
        <f t="shared" ca="1" si="1"/>
        <v>#NAME?</v>
      </c>
      <c r="O15" s="26" t="e">
        <f ca="1">+IF(Panel_Control[[#This Row],[Porcentaje de Avance Hasta la Vigencia (100%)]]="","",Panel_Control[[#This Row],[Porcentaje de Avance Hasta la Vigencia (100%)]]*Panel_Control[[#This Row],[Ponderación relativa del Producto (%)]])</f>
        <v>#NAME?</v>
      </c>
      <c r="P15" s="46" t="e">
        <f t="shared" ca="1" si="2"/>
        <v>#NAME?</v>
      </c>
      <c r="Q15" s="26" t="e">
        <f ca="1">+IF(Panel_Control[[#This Row],[PAA. (100%)]]="","",Panel_Control[[#This Row],[PAA. (100%)]]*Panel_Control[[#This Row],[Ponderación relativa del Producto (%)]])</f>
        <v>#NAME?</v>
      </c>
      <c r="R15" s="47" cm="1">
        <f t="array" ref="R15">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0.27272727272727271</v>
      </c>
      <c r="S15" s="26">
        <f>+Panel_Control[[#This Row],[Trayectoria Acumulada (Avance ideal)]]*Panel_Control[[#This Row],[Ponderación relativa del Producto (%)]]</f>
        <v>5.4545454545454541E-3</v>
      </c>
    </row>
    <row r="16" spans="1:19" ht="43.2" x14ac:dyDescent="0.3">
      <c r="A16" s="16">
        <f>+'Avance Cuantitativo Productos'!A17</f>
        <v>12</v>
      </c>
      <c r="B16" s="16" t="str">
        <f>+'Avance Cuantitativo Productos'!B17</f>
        <v>1.</v>
      </c>
      <c r="C16" s="44" t="str">
        <f>+'Avance Cuantitativo Productos'!C17</f>
        <v xml:space="preserve">1.2.1. Organizaciones sociales y comunitarias que promueven el deporte en ruta de fortalecimiento 
</v>
      </c>
      <c r="D16" s="44" t="str">
        <f>+'Avance Cuantitativo Productos'!E17</f>
        <v>Gobierno</v>
      </c>
      <c r="E16" s="45">
        <f>IF(ISNA('Avance Cuantitativo Productos'!M17)=FALSE,'Avance Cuantitativo Productos'!F17,IF($D$1&gt;YEAR('Avance Cuantitativo Productos'!J17),'Avance Cuantitativo Productos'!F17,IF($D$1&lt;YEAR('Avance Cuantitativo Productos'!J17),0,IF(AND($D$1=YEAR('Avance Cuantitativo Productos'!J17),$D$2="Q1",OR('Avance Cuantitativo Productos'!I17&lt;&gt;"Mensual",'Avance Cuantitativo Productos'!I17&lt;&gt;"Bimestral",'Avance Cuantitativo Productos'!I17&lt;&gt;"Trimestral")),0,IF(AND($D$1=YEAR('Avance Cuantitativo Productos'!J17),$D$2="Q2",OR('Avance Cuantitativo Productos'!I17&lt;&gt;"Mensual",'Avance Cuantitativo Productos'!I17&lt;&gt;"Bimestral",'Avance Cuantitativo Productos'!I17&lt;&gt;"Trimestral",'Avance Cuantitativo Productos'!I17&lt;&gt;"Semestral")),0,IF(AND($D$1=YEAR('Avance Cuantitativo Productos'!J17),$D$2="Q3",OR('Avance Cuantitativo Productos'!I17&lt;&gt;"Mensual",'Avance Cuantitativo Productos'!I17&lt;&gt;"Bimestral",'Avance Cuantitativo Productos'!I17&lt;&gt;"Trimestral",'Avance Cuantitativo Productos'!I17&lt;&gt;"Semestral")),0,IF(AND($D$1=YEAR('Avance Cuantitativo Productos'!J17),$D$2="Q4",OR('Avance Cuantitativo Productos'!I17&lt;&gt;"Mensual",'Avance Cuantitativo Productos'!I17&lt;&gt;"Bimestral",'Avance Cuantitativo Productos'!I17&lt;&gt;"Trimestral",'Avance Cuantitativo Productos'!I17&lt;&gt;"Semestral",'Avance Cuantitativo Productos'!I17&lt;&gt;"Anual")),0,'Avance Cuantitativo Productos'!F17)))))))</f>
        <v>0.04</v>
      </c>
      <c r="F16" s="46" t="e" cm="1">
        <f t="array" aca="1" ref="F16" ca="1">+IF(AND(_xlfn.NUMBERVALUE($D$1)&gt;=YEAR('Avance Cuantitativo Productos'!J17),ISERROR('Avance Cuantitativo Productos'!M17)=TRUE,(OR(AND($D$2="Q1",MONTH('Avance Cuantitativo Productos'!J17)&lt;=3,OR('Avance Cuantitativo Productos'!I17="Mensual",'Avance Cuantitativo Productos'!I17="Bimestral",'Avance Cuantitativo Productos'!I17="Trimestral")),AND($D$2="Q2",MONTH('Avance Cuantitativo Productos'!J17)&lt;=6,OR('Avance Cuantitativo Productos'!I17="Mensual",'Avance Cuantitativo Productos'!I17="Bimestral",'Avance Cuantitativo Productos'!I17="Trimestral",'Avance Cuantitativo Productos'!I17="Semestral")),AND($D$2="Q3",MONTH('Avance Cuantitativo Productos'!J17)&lt;=9,OR('Avance Cuantitativo Productos'!I17="Mensual",'Avance Cuantitativo Productos'!I17="Bimestral",'Avance Cuantitativo Productos'!I17="Trimestral",'Avance Cuantitativo Productos'!I17="Semestral")),AND($D$2="Q4",MONTH('Avance Cuantitativo Productos'!J17)&lt;=12,OR('Avance Cuantitativo Productos'!I17="Mensual",'Avance Cuantitativo Productos'!I17="Bimestral",'Avance Cuantitativo Productos'!I17="Trimestral",'Avance Cuantitativo Productos'!I17="Semestral",'Avance Cuantitativo Productos'!I17="Anual"))))),0,_xlfn.XLOOKUP($D$1,TRANSPOSE(Anios_Reporte[Año de Reporte]),_xlfn.XLOOKUP(Panel_Control[[#This Row],[Producto '#]],Info_Productos_Cuantitativo[Producto No.],Avance_en_Vigencia_Productos[])))</f>
        <v>#NAME?</v>
      </c>
      <c r="G16" s="17" t="e">
        <f ca="1">+IF(AND($D$1=YEAR('Avance Cuantitativo Productos'!J17),'Panel de Control PRODUCTOS'!$D$2="Q1",OR('Avance Cuantitativo Productos'!I17="Mensual",'Avance Cuantitativo Productos'!I17="Bimestral",'Avance Cuantitativo Productos'!I17="Trimestral"),MONTH('Avance Cuantitativo Productos'!J17)&lt;=3,SUM(OFFSET('Avance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PRODUCTOS'!$D$2="Q2",MONTH('Avance Cuantitativo Productos'!J17)&lt;=6,OR('Avance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PRODUCTOS'!$D$2="Q3",MONTH('Avance Cuantitativo Productos'!J17)&lt;=9,OR('Avance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PRODUCTOS'!$D$2="Q4",MONTH('Avance Cuantitativo Productos'!J17)&lt;=12,OR('Avance Cuantitativo Productos'!I17="Mensual",'Avance Cuantitativo Productos'!I17="Bimestral",'Avance Cuantitativo Productos'!I17="Trimestral",'Avance Cuantitativo Productos'!I17="Semestral",'Avance Cuantitativo Productos'!I17="Anual"),SUM(OFFSET('Avance Cuantitativo Productos'!N17,0,0,1,IF($D$2="Q1",_xlfn.XMATCH($D$1,'Avance Cuantitativo Productos'!$N$4:$AS$4,0),IF($D$2="Q2",_xlfn.XMATCH($D$1,'Avance Cuantitativo Productos'!$N$4:$AS$4,0)+1,IF($D$2="Q3",_xlfn.XMATCH($D$1,'Avance Cuantitativo Productos'!$N$4:$AS$4,0)+2,IF($D$2="Q4",_xlfn.XMATCH($D$1,'Avance Cuantitativo Productos'!$N$4:$AS$4,0)+3)))))))=0,"Rojo",IF(F16&gt;=0.75,"Verde",IF(AND(F16&lt;0.75,F16&gt;=0.5),"Amarillo",IF(F16&lt;0.5,"Rojo","ERROR")))))))</f>
        <v>#NAME?</v>
      </c>
      <c r="H16" s="46" t="e" cm="1">
        <f t="array" aca="1" ref="H16" ca="1">+IF(AND(_xlfn.NUMBERVALUE($D$1)&gt;=YEAR('Avance Cuantitativo Productos'!J17),ISERROR('Avance Cuantitativo Productos'!M17)=TRUE,(OR(AND($D$2="Q1",MONTH('Avance Cuantitativo Productos'!J17)&lt;=3,OR('Avance Cuantitativo Productos'!I17="Mensual",'Avance Cuantitativo Productos'!I17="Bimestral",'Avance Cuantitativo Productos'!I17="Trimestral")),AND($D$2="Q2",MONTH('Avance Cuantitativo Productos'!J17)&lt;=6,OR('Avance Cuantitativo Productos'!I17="Mensual",'Avance Cuantitativo Productos'!I17="Bimestral",'Avance Cuantitativo Productos'!I17="Trimestral",'Avance Cuantitativo Productos'!I17="Semestral")),AND($D$2="Q3",MONTH('Avance Cuantitativo Productos'!J17)&lt;=9,OR('Avance Cuantitativo Productos'!I17="Mensual",'Avance Cuantitativo Productos'!I17="Bimestral",'Avance Cuantitativo Productos'!I17="Trimestral",'Avance Cuantitativo Productos'!I17="Semestral")),AND($D$2="Q4",MONTH('Avance Cuantitativo Productos'!J17)&lt;=12,OR('Avance Cuantitativo Productos'!I17="Mensual",'Avance Cuantitativo Productos'!I17="Bimestral",'Avance Cuantitativo Productos'!I17="Trimestral",'Avance Cuantitativo Productos'!I17="Semestral",'Avance Cuantitativo Productos'!I17="Anual"))))),0,_xlfn.XLOOKUP($D$1,TRANSPOSE(Anios_Reporte[Año de Reporte]),_xlfn.XLOOKUP(Panel_Control[[#This Row],[Producto '#]],Info_Productos_Cuantitativo[Producto No.],Avance_Hasta_Vigencia_Productos[])))</f>
        <v>#NAME?</v>
      </c>
      <c r="I16" s="16" t="e">
        <f ca="1">+IF(AND($D$1=YEAR('Avance Cuantitativo Productos'!J17),'Panel de Control PRODUCTOS'!$D$2="Q1",MONTH('Avance Cuantitativo Productos'!J17)&lt;=3,OR('Avance Cuantitativo Productos'!I17="Mensual",'Avance Cuantitativo Productos'!I17="Bimestral",'Avance Cuantitativo Productos'!I17="Trimestral"),SUM(OFFSET('Avance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PRODUCTOS'!$D$2="Q2",MONTH('Avance Cuantitativo Productos'!J17)&lt;=6,OR('Avance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PRODUCTOS'!$D$2="Q3",MONTH('Avance Cuantitativo Productos'!J17)&lt;=9,OR('Avance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PRODUCTOS'!$D$2="Q4",MONTH('Avance Cuantitativo Productos'!J17)&lt;=12,OR('Avance Cuantitativo Productos'!I17="Mensual",'Avance Cuantitativo Productos'!I17="Bimestral",'Avance Cuantitativo Productos'!I17="Trimestral",'Avance Cuantitativo Productos'!I17="Semestral",'Avance Cuantitativo Productos'!I17="Anual"),SUM(OFFSET('Avance Cuantitativo Productos'!N17,0,0,1,IF($D$2="Q1",_xlfn.XMATCH($D$1,'Avance Cuantitativo Productos'!$N$4:$AS$4,0),IF($D$2="Q2",_xlfn.XMATCH($D$1,'Avance Cuantitativo Productos'!$N$4:$AS$4,0)+1,IF($D$2="Q3",_xlfn.XMATCH($D$1,'Avance Cuantitativo Productos'!$N$4:$AS$4,0)+2,IF($D$2="Q4",_xlfn.XMATCH($D$1,'Avance Cuantitativo Productos'!$N$4:$AS$4,0)+3))))))=0),"Rojo",IF(AND(YEAR('Avance Cuantitativo Productos'!J17)&lt;$D$1,ISERROR('Avance Cuantitativo Productos'!M17)=TRUE),"Rojo",IF(AND(YEAR('Avance Cuantitativo Productos'!J17)&gt;$D$1,ISERROR('Avance Cuantitativo Productos'!M17)=TRUE),"Verde",IF(H16&gt;=0.75,"Verde",IF(AND(H16&lt;0.75,H16&gt;=0.5),"Amarillo",IF(H16&lt;0.5,"Rojo")))))))))</f>
        <v>#NAME?</v>
      </c>
      <c r="J16" s="46" t="e" cm="1">
        <f t="array" aca="1" ref="J16" ca="1">+IF(AND(_xlfn.NUMBERVALUE($D$1)&gt;=YEAR('Avance Cuantitativo Productos'!J17),ISERROR('Avance Cuantitativo Productos'!M17)=TRUE,(OR(AND($D$2="Q1",MONTH('Avance Cuantitativo Productos'!J17)&lt;=3,OR('Avance Cuantitativo Productos'!I17="Mensual",'Avance Cuantitativo Productos'!I17="Bimestral",'Avance Cuantitativo Productos'!I17="Trimestral")),AND($D$2="Q2",MONTH('Avance Cuantitativo Productos'!J17)&lt;=6,OR('Avance Cuantitativo Productos'!I17="Mensual",'Avance Cuantitativo Productos'!I17="Bimestral",'Avance Cuantitativo Productos'!I17="Trimestral",'Avance Cuantitativo Productos'!I17="Semestral")),AND($D$2="Q3",MONTH('Avance Cuantitativo Productos'!J17)&lt;=9,OR('Avance Cuantitativo Productos'!I17="Mensual",'Avance Cuantitativo Productos'!I17="Bimestral",'Avance Cuantitativo Productos'!I17="Trimestral",'Avance Cuantitativo Productos'!I17="Semestral")),AND($D$2="Q4",MONTH('Avance Cuantitativo Productos'!J17)&lt;=12,OR('Avance Cuantitativo Productos'!I17="Mensual",'Avance Cuantitativo Productos'!I17="Bimestral",'Avance Cuantitativo Productos'!I17="Trimestral",'Avance Cuantitativo Productos'!I17="Semestral",'Avance Cuantitativo Productos'!I17="Anual"))))),0,_xlfn.XLOOKUP($D$1,TRANSPOSE(Anios_Reporte[Año de Reporte]),_xlfn.XLOOKUP(Panel_Control[[#This Row],[Producto '#]],Info_Productos_Cuantitativo[Producto No.],Avance_Acumulado_Productos[])))</f>
        <v>#NAME?</v>
      </c>
      <c r="K16" s="17" t="e">
        <f ca="1">+IF(AND($D$1=YEAR('Avance Cuantitativo Productos'!J17),'Panel de Control PRODUCTOS'!$D$2="Q1",MONTH('Avance Cuantitativo Productos'!J17)&lt;=3,OR('Avance Cuantitativo Productos'!I17="Mensual",'Avance Cuantitativo Productos'!I17="Bimestral",'Avance Cuantitativo Productos'!I17="Trimestral"),SUM(OFFSET('Avance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PRODUCTOS'!$D$2="Q2",MONTH('Avance Cuantitativo Productos'!J17)&lt;=6,OR('Avance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PRODUCTOS'!$D$2="Q3",MONTH('Avance Cuantitativo Productos'!J17)&lt;=9,OR('Avance Cuantitativo Productos'!I17="Mensual",'Avance Cuantitativo Productos'!I17="Bimestral",'Avance Cuantitativo Productos'!I17="Trimestral",'Avance Cuantitativo Productos'!I17="Semestral"),SUM(OFFSET('Avance Cuantitativo Productos'!N17,0,0,1,IF($D$2="Q1",_xlfn.XMATCH($D$1,'Avance Cuantitativo Productos'!$N$4:$AS$4,0),IF($D$2="Q2",_xlfn.XMATCH($D$1,'Avance Cuantitativo Productos'!$N$4:$AS$4,0)+1,IF($D$2="Q3",_xlfn.XMATCH($D$1,'Avance Cuantitativo Productos'!$N$4:$AS$4,0)+2,IF($D$2="Q4",_xlfn.XMATCH($D$1,'Avance Cuantitativo Productos'!$N$4:$AS$4,0)+3))))))=0),"Rojo",IF(AND($D$1=YEAR('Avance Cuantitativo Productos'!J17),'Panel de Control PRODUCTOS'!$D$2="Q4",MONTH('Avance Cuantitativo Productos'!J17)&lt;=12,OR('Avance Cuantitativo Productos'!I17="Mensual",'Avance Cuantitativo Productos'!I17="Bimestral",'Avance Cuantitativo Productos'!I17="Trimestral",'Avance Cuantitativo Productos'!I17="Semestral",'Avance Cuantitativo Productos'!I17="Anual"),SUM(OFFSET('Avance Cuantitativo Productos'!N17,0,0,1,IF($D$2="Q1",_xlfn.XMATCH($D$1,'Avance Cuantitativo Productos'!$N$4:$AS$4,0),IF($D$2="Q2",_xlfn.XMATCH($D$1,'Avance Cuantitativo Productos'!$N$4:$AS$4,0)+1,IF($D$2="Q3",_xlfn.XMATCH($D$1,'Avance Cuantitativo Productos'!$N$4:$AS$4,0)+2,IF($D$2="Q4",_xlfn.XMATCH($D$1,'Avance Cuantitativo Productos'!$N$4:$AS$4,0)+3))))))=0),"Rojo",IF(AND(YEAR('Avance Cuantitativo Productos'!J17)&lt;$D$1,ISERROR('Avance Cuantitativo Productos'!M17)=TRUE),"Rojo",IF(AND(YEAR('Avance Cuantitativo Productos'!J17)&gt;$D$1,ISERROR('Avance Cuantitativo Productos'!M17)=TRUE),"Verde",IF(J16&gt;=0.75,"Verde",IF(AND(J16&lt;0.75,J16&gt;=0.5),"Amarillo",IF(J16&lt;0.5,"Rojo")))))))))</f>
        <v>#NAME?</v>
      </c>
      <c r="L16" s="46" t="e">
        <f t="shared" ca="1" si="0"/>
        <v>#NAME?</v>
      </c>
      <c r="M16" s="26" t="e">
        <f ca="1">+IF(Panel_Control[[#This Row],[PAV. Ajustado (100%)]]="","",Panel_Control[[#This Row],[PAV. Ajustado (100%)]]*Panel_Control[[#This Row],[Ponderación relativa del Producto (%)]])</f>
        <v>#NAME?</v>
      </c>
      <c r="N16" s="46" t="e">
        <f t="shared" ca="1" si="1"/>
        <v>#NAME?</v>
      </c>
      <c r="O16" s="26" t="e">
        <f ca="1">+IF(Panel_Control[[#This Row],[Porcentaje de Avance Hasta la Vigencia (100%)]]="","",Panel_Control[[#This Row],[Porcentaje de Avance Hasta la Vigencia (100%)]]*Panel_Control[[#This Row],[Ponderación relativa del Producto (%)]])</f>
        <v>#NAME?</v>
      </c>
      <c r="P16" s="46" t="e">
        <f t="shared" ca="1" si="2"/>
        <v>#NAME?</v>
      </c>
      <c r="Q16" s="26" t="e">
        <f ca="1">+IF(Panel_Control[[#This Row],[PAA. (100%)]]="","",Panel_Control[[#This Row],[PAA. (100%)]]*Panel_Control[[#This Row],[Ponderación relativa del Producto (%)]])</f>
        <v>#NAME?</v>
      </c>
      <c r="R16" s="47" cm="1">
        <f t="array" ref="R16">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0.70588235294117652</v>
      </c>
      <c r="S16" s="26">
        <f>+Panel_Control[[#This Row],[Trayectoria Acumulada (Avance ideal)]]*Panel_Control[[#This Row],[Ponderación relativa del Producto (%)]]</f>
        <v>2.823529411764706E-2</v>
      </c>
    </row>
    <row r="17" spans="1:19" ht="57.6" x14ac:dyDescent="0.3">
      <c r="A17" s="16">
        <f>+'Avance Cuantitativo Productos'!A18</f>
        <v>13</v>
      </c>
      <c r="B17" s="16" t="str">
        <f>+'Avance Cuantitativo Productos'!B18</f>
        <v>1.</v>
      </c>
      <c r="C17" s="44" t="str">
        <f>+'Avance Cuantitativo Productos'!C18</f>
        <v xml:space="preserve">1.2.2. Articulaciones generadas con el sector privado para el incremento de actividades recreativas, deportivas y de actividad física. 
</v>
      </c>
      <c r="D17" s="44" t="str">
        <f>+'Avance Cuantitativo Productos'!E18</f>
        <v xml:space="preserve">Cultura, Recreación y Deporte </v>
      </c>
      <c r="E17" s="45">
        <f>IF(ISNA('Avance Cuantitativo Productos'!M18)=FALSE,'Avance Cuantitativo Productos'!F18,IF($D$1&gt;YEAR('Avance Cuantitativo Productos'!J18),'Avance Cuantitativo Productos'!F18,IF($D$1&lt;YEAR('Avance Cuantitativo Productos'!J18),0,IF(AND($D$1=YEAR('Avance Cuantitativo Productos'!J18),$D$2="Q1",OR('Avance Cuantitativo Productos'!I18&lt;&gt;"Mensual",'Avance Cuantitativo Productos'!I18&lt;&gt;"Bimestral",'Avance Cuantitativo Productos'!I18&lt;&gt;"Trimestral")),0,IF(AND($D$1=YEAR('Avance Cuantitativo Productos'!J18),$D$2="Q2",OR('Avance Cuantitativo Productos'!I18&lt;&gt;"Mensual",'Avance Cuantitativo Productos'!I18&lt;&gt;"Bimestral",'Avance Cuantitativo Productos'!I18&lt;&gt;"Trimestral",'Avance Cuantitativo Productos'!I18&lt;&gt;"Semestral")),0,IF(AND($D$1=YEAR('Avance Cuantitativo Productos'!J18),$D$2="Q3",OR('Avance Cuantitativo Productos'!I18&lt;&gt;"Mensual",'Avance Cuantitativo Productos'!I18&lt;&gt;"Bimestral",'Avance Cuantitativo Productos'!I18&lt;&gt;"Trimestral",'Avance Cuantitativo Productos'!I18&lt;&gt;"Semestral")),0,IF(AND($D$1=YEAR('Avance Cuantitativo Productos'!J18),$D$2="Q4",OR('Avance Cuantitativo Productos'!I18&lt;&gt;"Mensual",'Avance Cuantitativo Productos'!I18&lt;&gt;"Bimestral",'Avance Cuantitativo Productos'!I18&lt;&gt;"Trimestral",'Avance Cuantitativo Productos'!I18&lt;&gt;"Semestral",'Avance Cuantitativo Productos'!I18&lt;&gt;"Anual")),0,'Avance Cuantitativo Productos'!F18)))))))</f>
        <v>0.03</v>
      </c>
      <c r="F17" s="46" t="e" cm="1">
        <f t="array" aca="1" ref="F17" ca="1">+IF(AND(_xlfn.NUMBERVALUE($D$1)&gt;=YEAR('Avance Cuantitativo Productos'!J18),ISERROR('Avance Cuantitativo Productos'!M18)=TRUE,(OR(AND($D$2="Q1",MONTH('Avance Cuantitativo Productos'!J18)&lt;=3,OR('Avance Cuantitativo Productos'!I18="Mensual",'Avance Cuantitativo Productos'!I18="Bimestral",'Avance Cuantitativo Productos'!I18="Trimestral")),AND($D$2="Q2",MONTH('Avance Cuantitativo Productos'!J18)&lt;=6,OR('Avance Cuantitativo Productos'!I18="Mensual",'Avance Cuantitativo Productos'!I18="Bimestral",'Avance Cuantitativo Productos'!I18="Trimestral",'Avance Cuantitativo Productos'!I18="Semestral")),AND($D$2="Q3",MONTH('Avance Cuantitativo Productos'!J18)&lt;=9,OR('Avance Cuantitativo Productos'!I18="Mensual",'Avance Cuantitativo Productos'!I18="Bimestral",'Avance Cuantitativo Productos'!I18="Trimestral",'Avance Cuantitativo Productos'!I18="Semestral")),AND($D$2="Q4",MONTH('Avance Cuantitativo Productos'!J18)&lt;=12,OR('Avance Cuantitativo Productos'!I18="Mensual",'Avance Cuantitativo Productos'!I18="Bimestral",'Avance Cuantitativo Productos'!I18="Trimestral",'Avance Cuantitativo Productos'!I18="Semestral",'Avance Cuantitativo Productos'!I18="Anual"))))),0,_xlfn.XLOOKUP($D$1,TRANSPOSE(Anios_Reporte[Año de Reporte]),_xlfn.XLOOKUP(Panel_Control[[#This Row],[Producto '#]],Info_Productos_Cuantitativo[Producto No.],Avance_en_Vigencia_Productos[])))</f>
        <v>#NAME?</v>
      </c>
      <c r="G17" s="17" t="e">
        <f ca="1">+IF(AND($D$1=YEAR('Avance Cuantitativo Productos'!J18),'Panel de Control PRODUCTOS'!$D$2="Q1",OR('Avance Cuantitativo Productos'!I18="Mensual",'Avance Cuantitativo Productos'!I18="Bimestral",'Avance Cuantitativo Productos'!I18="Trimestral"),MONTH('Avance Cuantitativo Productos'!J18)&lt;=3,SUM(OFFSET('Avance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PRODUCTOS'!$D$2="Q2",MONTH('Avance Cuantitativo Productos'!J18)&lt;=6,OR('Avance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PRODUCTOS'!$D$2="Q3",MONTH('Avance Cuantitativo Productos'!J18)&lt;=9,OR('Avance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PRODUCTOS'!$D$2="Q4",MONTH('Avance Cuantitativo Productos'!J18)&lt;=12,OR('Avance Cuantitativo Productos'!I18="Mensual",'Avance Cuantitativo Productos'!I18="Bimestral",'Avance Cuantitativo Productos'!I18="Trimestral",'Avance Cuantitativo Productos'!I18="Semestral",'Avance Cuantitativo Productos'!I18="Anual"),SUM(OFFSET('Avance Cuantitativo Productos'!N18,0,0,1,IF($D$2="Q1",_xlfn.XMATCH($D$1,'Avance Cuantitativo Productos'!$N$4:$AS$4,0),IF($D$2="Q2",_xlfn.XMATCH($D$1,'Avance Cuantitativo Productos'!$N$4:$AS$4,0)+1,IF($D$2="Q3",_xlfn.XMATCH($D$1,'Avance Cuantitativo Productos'!$N$4:$AS$4,0)+2,IF($D$2="Q4",_xlfn.XMATCH($D$1,'Avance Cuantitativo Productos'!$N$4:$AS$4,0)+3)))))))=0,"Rojo",IF(F17&gt;=0.75,"Verde",IF(AND(F17&lt;0.75,F17&gt;=0.5),"Amarillo",IF(F17&lt;0.5,"Rojo","ERROR")))))))</f>
        <v>#NAME?</v>
      </c>
      <c r="H17" s="46" t="e" cm="1">
        <f t="array" aca="1" ref="H17" ca="1">+IF(AND(_xlfn.NUMBERVALUE($D$1)&gt;=YEAR('Avance Cuantitativo Productos'!J18),ISERROR('Avance Cuantitativo Productos'!M18)=TRUE,(OR(AND($D$2="Q1",MONTH('Avance Cuantitativo Productos'!J18)&lt;=3,OR('Avance Cuantitativo Productos'!I18="Mensual",'Avance Cuantitativo Productos'!I18="Bimestral",'Avance Cuantitativo Productos'!I18="Trimestral")),AND($D$2="Q2",MONTH('Avance Cuantitativo Productos'!J18)&lt;=6,OR('Avance Cuantitativo Productos'!I18="Mensual",'Avance Cuantitativo Productos'!I18="Bimestral",'Avance Cuantitativo Productos'!I18="Trimestral",'Avance Cuantitativo Productos'!I18="Semestral")),AND($D$2="Q3",MONTH('Avance Cuantitativo Productos'!J18)&lt;=9,OR('Avance Cuantitativo Productos'!I18="Mensual",'Avance Cuantitativo Productos'!I18="Bimestral",'Avance Cuantitativo Productos'!I18="Trimestral",'Avance Cuantitativo Productos'!I18="Semestral")),AND($D$2="Q4",MONTH('Avance Cuantitativo Productos'!J18)&lt;=12,OR('Avance Cuantitativo Productos'!I18="Mensual",'Avance Cuantitativo Productos'!I18="Bimestral",'Avance Cuantitativo Productos'!I18="Trimestral",'Avance Cuantitativo Productos'!I18="Semestral",'Avance Cuantitativo Productos'!I18="Anual"))))),0,_xlfn.XLOOKUP($D$1,TRANSPOSE(Anios_Reporte[Año de Reporte]),_xlfn.XLOOKUP(Panel_Control[[#This Row],[Producto '#]],Info_Productos_Cuantitativo[Producto No.],Avance_Hasta_Vigencia_Productos[])))</f>
        <v>#NAME?</v>
      </c>
      <c r="I17" s="16" t="e">
        <f ca="1">+IF(AND($D$1=YEAR('Avance Cuantitativo Productos'!J18),'Panel de Control PRODUCTOS'!$D$2="Q1",MONTH('Avance Cuantitativo Productos'!J18)&lt;=3,OR('Avance Cuantitativo Productos'!I18="Mensual",'Avance Cuantitativo Productos'!I18="Bimestral",'Avance Cuantitativo Productos'!I18="Trimestral"),SUM(OFFSET('Avance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PRODUCTOS'!$D$2="Q2",MONTH('Avance Cuantitativo Productos'!J18)&lt;=6,OR('Avance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PRODUCTOS'!$D$2="Q3",MONTH('Avance Cuantitativo Productos'!J18)&lt;=9,OR('Avance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PRODUCTOS'!$D$2="Q4",MONTH('Avance Cuantitativo Productos'!J18)&lt;=12,OR('Avance Cuantitativo Productos'!I18="Mensual",'Avance Cuantitativo Productos'!I18="Bimestral",'Avance Cuantitativo Productos'!I18="Trimestral",'Avance Cuantitativo Productos'!I18="Semestral",'Avance Cuantitativo Productos'!I18="Anual"),SUM(OFFSET('Avance Cuantitativo Productos'!N18,0,0,1,IF($D$2="Q1",_xlfn.XMATCH($D$1,'Avance Cuantitativo Productos'!$N$4:$AS$4,0),IF($D$2="Q2",_xlfn.XMATCH($D$1,'Avance Cuantitativo Productos'!$N$4:$AS$4,0)+1,IF($D$2="Q3",_xlfn.XMATCH($D$1,'Avance Cuantitativo Productos'!$N$4:$AS$4,0)+2,IF($D$2="Q4",_xlfn.XMATCH($D$1,'Avance Cuantitativo Productos'!$N$4:$AS$4,0)+3))))))=0),"Rojo",IF(AND(YEAR('Avance Cuantitativo Productos'!J18)&lt;$D$1,ISERROR('Avance Cuantitativo Productos'!M18)=TRUE),"Rojo",IF(AND(YEAR('Avance Cuantitativo Productos'!J18)&gt;$D$1,ISERROR('Avance Cuantitativo Productos'!M18)=TRUE),"Verde",IF(H17&gt;=0.75,"Verde",IF(AND(H17&lt;0.75,H17&gt;=0.5),"Amarillo",IF(H17&lt;0.5,"Rojo")))))))))</f>
        <v>#NAME?</v>
      </c>
      <c r="J17" s="46" t="e" cm="1">
        <f t="array" aca="1" ref="J17" ca="1">+IF(AND(_xlfn.NUMBERVALUE($D$1)&gt;=YEAR('Avance Cuantitativo Productos'!J18),ISERROR('Avance Cuantitativo Productos'!M18)=TRUE,(OR(AND($D$2="Q1",MONTH('Avance Cuantitativo Productos'!J18)&lt;=3,OR('Avance Cuantitativo Productos'!I18="Mensual",'Avance Cuantitativo Productos'!I18="Bimestral",'Avance Cuantitativo Productos'!I18="Trimestral")),AND($D$2="Q2",MONTH('Avance Cuantitativo Productos'!J18)&lt;=6,OR('Avance Cuantitativo Productos'!I18="Mensual",'Avance Cuantitativo Productos'!I18="Bimestral",'Avance Cuantitativo Productos'!I18="Trimestral",'Avance Cuantitativo Productos'!I18="Semestral")),AND($D$2="Q3",MONTH('Avance Cuantitativo Productos'!J18)&lt;=9,OR('Avance Cuantitativo Productos'!I18="Mensual",'Avance Cuantitativo Productos'!I18="Bimestral",'Avance Cuantitativo Productos'!I18="Trimestral",'Avance Cuantitativo Productos'!I18="Semestral")),AND($D$2="Q4",MONTH('Avance Cuantitativo Productos'!J18)&lt;=12,OR('Avance Cuantitativo Productos'!I18="Mensual",'Avance Cuantitativo Productos'!I18="Bimestral",'Avance Cuantitativo Productos'!I18="Trimestral",'Avance Cuantitativo Productos'!I18="Semestral",'Avance Cuantitativo Productos'!I18="Anual"))))),0,_xlfn.XLOOKUP($D$1,TRANSPOSE(Anios_Reporte[Año de Reporte]),_xlfn.XLOOKUP(Panel_Control[[#This Row],[Producto '#]],Info_Productos_Cuantitativo[Producto No.],Avance_Acumulado_Productos[])))</f>
        <v>#NAME?</v>
      </c>
      <c r="K17" s="17" t="e">
        <f ca="1">+IF(AND($D$1=YEAR('Avance Cuantitativo Productos'!J18),'Panel de Control PRODUCTOS'!$D$2="Q1",MONTH('Avance Cuantitativo Productos'!J18)&lt;=3,OR('Avance Cuantitativo Productos'!I18="Mensual",'Avance Cuantitativo Productos'!I18="Bimestral",'Avance Cuantitativo Productos'!I18="Trimestral"),SUM(OFFSET('Avance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PRODUCTOS'!$D$2="Q2",MONTH('Avance Cuantitativo Productos'!J18)&lt;=6,OR('Avance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PRODUCTOS'!$D$2="Q3",MONTH('Avance Cuantitativo Productos'!J18)&lt;=9,OR('Avance Cuantitativo Productos'!I18="Mensual",'Avance Cuantitativo Productos'!I18="Bimestral",'Avance Cuantitativo Productos'!I18="Trimestral",'Avance Cuantitativo Productos'!I18="Semestral"),SUM(OFFSET('Avance Cuantitativo Productos'!N18,0,0,1,IF($D$2="Q1",_xlfn.XMATCH($D$1,'Avance Cuantitativo Productos'!$N$4:$AS$4,0),IF($D$2="Q2",_xlfn.XMATCH($D$1,'Avance Cuantitativo Productos'!$N$4:$AS$4,0)+1,IF($D$2="Q3",_xlfn.XMATCH($D$1,'Avance Cuantitativo Productos'!$N$4:$AS$4,0)+2,IF($D$2="Q4",_xlfn.XMATCH($D$1,'Avance Cuantitativo Productos'!$N$4:$AS$4,0)+3))))))=0),"Rojo",IF(AND($D$1=YEAR('Avance Cuantitativo Productos'!J18),'Panel de Control PRODUCTOS'!$D$2="Q4",MONTH('Avance Cuantitativo Productos'!J18)&lt;=12,OR('Avance Cuantitativo Productos'!I18="Mensual",'Avance Cuantitativo Productos'!I18="Bimestral",'Avance Cuantitativo Productos'!I18="Trimestral",'Avance Cuantitativo Productos'!I18="Semestral",'Avance Cuantitativo Productos'!I18="Anual"),SUM(OFFSET('Avance Cuantitativo Productos'!N18,0,0,1,IF($D$2="Q1",_xlfn.XMATCH($D$1,'Avance Cuantitativo Productos'!$N$4:$AS$4,0),IF($D$2="Q2",_xlfn.XMATCH($D$1,'Avance Cuantitativo Productos'!$N$4:$AS$4,0)+1,IF($D$2="Q3",_xlfn.XMATCH($D$1,'Avance Cuantitativo Productos'!$N$4:$AS$4,0)+2,IF($D$2="Q4",_xlfn.XMATCH($D$1,'Avance Cuantitativo Productos'!$N$4:$AS$4,0)+3))))))=0),"Rojo",IF(AND(YEAR('Avance Cuantitativo Productos'!J18)&lt;$D$1,ISERROR('Avance Cuantitativo Productos'!M18)=TRUE),"Rojo",IF(AND(YEAR('Avance Cuantitativo Productos'!J18)&gt;$D$1,ISERROR('Avance Cuantitativo Productos'!M18)=TRUE),"Verde",IF(J17&gt;=0.75,"Verde",IF(AND(J17&lt;0.75,J17&gt;=0.5),"Amarillo",IF(J17&lt;0.5,"Rojo")))))))))</f>
        <v>#NAME?</v>
      </c>
      <c r="L17" s="46" t="e">
        <f t="shared" ca="1" si="0"/>
        <v>#NAME?</v>
      </c>
      <c r="M17" s="26" t="e">
        <f ca="1">+IF(Panel_Control[[#This Row],[PAV. Ajustado (100%)]]="","",Panel_Control[[#This Row],[PAV. Ajustado (100%)]]*Panel_Control[[#This Row],[Ponderación relativa del Producto (%)]])</f>
        <v>#NAME?</v>
      </c>
      <c r="N17" s="46" t="e">
        <f t="shared" ca="1" si="1"/>
        <v>#NAME?</v>
      </c>
      <c r="O17" s="26" t="e">
        <f ca="1">+IF(Panel_Control[[#This Row],[Porcentaje de Avance Hasta la Vigencia (100%)]]="","",Panel_Control[[#This Row],[Porcentaje de Avance Hasta la Vigencia (100%)]]*Panel_Control[[#This Row],[Ponderación relativa del Producto (%)]])</f>
        <v>#NAME?</v>
      </c>
      <c r="P17" s="46" t="e">
        <f t="shared" ca="1" si="2"/>
        <v>#NAME?</v>
      </c>
      <c r="Q17" s="26" t="e">
        <f ca="1">+IF(Panel_Control[[#This Row],[PAA. (100%)]]="","",Panel_Control[[#This Row],[PAA. (100%)]]*Panel_Control[[#This Row],[Ponderación relativa del Producto (%)]])</f>
        <v>#NAME?</v>
      </c>
      <c r="R17" s="47" cm="1">
        <f t="array" ref="R17">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0.26530612244897961</v>
      </c>
      <c r="S17" s="26">
        <f>+Panel_Control[[#This Row],[Trayectoria Acumulada (Avance ideal)]]*Panel_Control[[#This Row],[Ponderación relativa del Producto (%)]]</f>
        <v>7.9591836734693878E-3</v>
      </c>
    </row>
    <row r="18" spans="1:19" ht="28.8" x14ac:dyDescent="0.3">
      <c r="A18" s="16">
        <f>+'Avance Cuantitativo Productos'!A19</f>
        <v>14</v>
      </c>
      <c r="B18" s="16" t="str">
        <f>+'Avance Cuantitativo Productos'!B19</f>
        <v>2.</v>
      </c>
      <c r="C18" s="44" t="str">
        <f>+'Avance Cuantitativo Productos'!C19</f>
        <v>2.1.1 Medición de la participación de la economía del sector deporte en el PIB de la ciudad</v>
      </c>
      <c r="D18" s="44" t="str">
        <f>+'Avance Cuantitativo Productos'!E19</f>
        <v xml:space="preserve">Cultura, Recreación y Deporte </v>
      </c>
      <c r="E18" s="45">
        <f>IF(ISNA('Avance Cuantitativo Productos'!M19)=FALSE,'Avance Cuantitativo Productos'!F19,IF($D$1&gt;YEAR('Avance Cuantitativo Productos'!J19),'Avance Cuantitativo Productos'!F19,IF($D$1&lt;YEAR('Avance Cuantitativo Productos'!J19),0,IF(AND($D$1=YEAR('Avance Cuantitativo Productos'!J19),$D$2="Q1",OR('Avance Cuantitativo Productos'!I19&lt;&gt;"Mensual",'Avance Cuantitativo Productos'!I19&lt;&gt;"Bimestral",'Avance Cuantitativo Productos'!I19&lt;&gt;"Trimestral")),0,IF(AND($D$1=YEAR('Avance Cuantitativo Productos'!J19),$D$2="Q2",OR('Avance Cuantitativo Productos'!I19&lt;&gt;"Mensual",'Avance Cuantitativo Productos'!I19&lt;&gt;"Bimestral",'Avance Cuantitativo Productos'!I19&lt;&gt;"Trimestral",'Avance Cuantitativo Productos'!I19&lt;&gt;"Semestral")),0,IF(AND($D$1=YEAR('Avance Cuantitativo Productos'!J19),$D$2="Q3",OR('Avance Cuantitativo Productos'!I19&lt;&gt;"Mensual",'Avance Cuantitativo Productos'!I19&lt;&gt;"Bimestral",'Avance Cuantitativo Productos'!I19&lt;&gt;"Trimestral",'Avance Cuantitativo Productos'!I19&lt;&gt;"Semestral")),0,IF(AND($D$1=YEAR('Avance Cuantitativo Productos'!J19),$D$2="Q4",OR('Avance Cuantitativo Productos'!I19&lt;&gt;"Mensual",'Avance Cuantitativo Productos'!I19&lt;&gt;"Bimestral",'Avance Cuantitativo Productos'!I19&lt;&gt;"Trimestral",'Avance Cuantitativo Productos'!I19&lt;&gt;"Semestral",'Avance Cuantitativo Productos'!I19&lt;&gt;"Anual")),0,'Avance Cuantitativo Productos'!F19)))))))</f>
        <v>0.05</v>
      </c>
      <c r="F18" s="46" t="e" cm="1">
        <f t="array" aca="1" ref="F18" ca="1">+IF(AND(_xlfn.NUMBERVALUE($D$1)&gt;=YEAR('Avance Cuantitativo Productos'!J19),ISERROR('Avance Cuantitativo Productos'!M19)=TRUE,(OR(AND($D$2="Q1",MONTH('Avance Cuantitativo Productos'!J19)&lt;=3,OR('Avance Cuantitativo Productos'!I19="Mensual",'Avance Cuantitativo Productos'!I19="Bimestral",'Avance Cuantitativo Productos'!I19="Trimestral")),AND($D$2="Q2",MONTH('Avance Cuantitativo Productos'!J19)&lt;=6,OR('Avance Cuantitativo Productos'!I19="Mensual",'Avance Cuantitativo Productos'!I19="Bimestral",'Avance Cuantitativo Productos'!I19="Trimestral",'Avance Cuantitativo Productos'!I19="Semestral")),AND($D$2="Q3",MONTH('Avance Cuantitativo Productos'!J19)&lt;=9,OR('Avance Cuantitativo Productos'!I19="Mensual",'Avance Cuantitativo Productos'!I19="Bimestral",'Avance Cuantitativo Productos'!I19="Trimestral",'Avance Cuantitativo Productos'!I19="Semestral")),AND($D$2="Q4",MONTH('Avance Cuantitativo Productos'!J19)&lt;=12,OR('Avance Cuantitativo Productos'!I19="Mensual",'Avance Cuantitativo Productos'!I19="Bimestral",'Avance Cuantitativo Productos'!I19="Trimestral",'Avance Cuantitativo Productos'!I19="Semestral",'Avance Cuantitativo Productos'!I19="Anual"))))),0,_xlfn.XLOOKUP($D$1,TRANSPOSE(Anios_Reporte[Año de Reporte]),_xlfn.XLOOKUP(Panel_Control[[#This Row],[Producto '#]],Info_Productos_Cuantitativo[Producto No.],Avance_en_Vigencia_Productos[])))</f>
        <v>#NAME?</v>
      </c>
      <c r="G18" s="17" t="e">
        <f ca="1">+IF(AND($D$1=YEAR('Avance Cuantitativo Productos'!J19),'Panel de Control PRODUCTOS'!$D$2="Q1",OR('Avance Cuantitativo Productos'!I19="Mensual",'Avance Cuantitativo Productos'!I19="Bimestral",'Avance Cuantitativo Productos'!I19="Trimestral"),MONTH('Avance Cuantitativo Productos'!J19)&lt;=3,SUM(OFFSET('Avance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PRODUCTOS'!$D$2="Q2",MONTH('Avance Cuantitativo Productos'!J19)&lt;=6,OR('Avance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PRODUCTOS'!$D$2="Q3",MONTH('Avance Cuantitativo Productos'!J19)&lt;=9,OR('Avance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PRODUCTOS'!$D$2="Q4",MONTH('Avance Cuantitativo Productos'!J19)&lt;=12,OR('Avance Cuantitativo Productos'!I19="Mensual",'Avance Cuantitativo Productos'!I19="Bimestral",'Avance Cuantitativo Productos'!I19="Trimestral",'Avance Cuantitativo Productos'!I19="Semestral",'Avance Cuantitativo Productos'!I19="Anual"),SUM(OFFSET('Avance Cuantitativo Productos'!N19,0,0,1,IF($D$2="Q1",_xlfn.XMATCH($D$1,'Avance Cuantitativo Productos'!$N$4:$AS$4,0),IF($D$2="Q2",_xlfn.XMATCH($D$1,'Avance Cuantitativo Productos'!$N$4:$AS$4,0)+1,IF($D$2="Q3",_xlfn.XMATCH($D$1,'Avance Cuantitativo Productos'!$N$4:$AS$4,0)+2,IF($D$2="Q4",_xlfn.XMATCH($D$1,'Avance Cuantitativo Productos'!$N$4:$AS$4,0)+3)))))))=0,"Rojo",IF(F18&gt;=0.75,"Verde",IF(AND(F18&lt;0.75,F18&gt;=0.5),"Amarillo",IF(F18&lt;0.5,"Rojo","ERROR")))))))</f>
        <v>#NAME?</v>
      </c>
      <c r="H18" s="46" t="e" cm="1">
        <f t="array" aca="1" ref="H18" ca="1">+IF(AND(_xlfn.NUMBERVALUE($D$1)&gt;=YEAR('Avance Cuantitativo Productos'!J19),ISERROR('Avance Cuantitativo Productos'!M19)=TRUE,(OR(AND($D$2="Q1",MONTH('Avance Cuantitativo Productos'!J19)&lt;=3,OR('Avance Cuantitativo Productos'!I19="Mensual",'Avance Cuantitativo Productos'!I19="Bimestral",'Avance Cuantitativo Productos'!I19="Trimestral")),AND($D$2="Q2",MONTH('Avance Cuantitativo Productos'!J19)&lt;=6,OR('Avance Cuantitativo Productos'!I19="Mensual",'Avance Cuantitativo Productos'!I19="Bimestral",'Avance Cuantitativo Productos'!I19="Trimestral",'Avance Cuantitativo Productos'!I19="Semestral")),AND($D$2="Q3",MONTH('Avance Cuantitativo Productos'!J19)&lt;=9,OR('Avance Cuantitativo Productos'!I19="Mensual",'Avance Cuantitativo Productos'!I19="Bimestral",'Avance Cuantitativo Productos'!I19="Trimestral",'Avance Cuantitativo Productos'!I19="Semestral")),AND($D$2="Q4",MONTH('Avance Cuantitativo Productos'!J19)&lt;=12,OR('Avance Cuantitativo Productos'!I19="Mensual",'Avance Cuantitativo Productos'!I19="Bimestral",'Avance Cuantitativo Productos'!I19="Trimestral",'Avance Cuantitativo Productos'!I19="Semestral",'Avance Cuantitativo Productos'!I19="Anual"))))),0,_xlfn.XLOOKUP($D$1,TRANSPOSE(Anios_Reporte[Año de Reporte]),_xlfn.XLOOKUP(Panel_Control[[#This Row],[Producto '#]],Info_Productos_Cuantitativo[Producto No.],Avance_Hasta_Vigencia_Productos[])))</f>
        <v>#NAME?</v>
      </c>
      <c r="I18" s="16" t="e">
        <f ca="1">+IF(AND($D$1=YEAR('Avance Cuantitativo Productos'!J19),'Panel de Control PRODUCTOS'!$D$2="Q1",MONTH('Avance Cuantitativo Productos'!J19)&lt;=3,OR('Avance Cuantitativo Productos'!I19="Mensual",'Avance Cuantitativo Productos'!I19="Bimestral",'Avance Cuantitativo Productos'!I19="Trimestral"),SUM(OFFSET('Avance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PRODUCTOS'!$D$2="Q2",MONTH('Avance Cuantitativo Productos'!J19)&lt;=6,OR('Avance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PRODUCTOS'!$D$2="Q3",MONTH('Avance Cuantitativo Productos'!J19)&lt;=9,OR('Avance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PRODUCTOS'!$D$2="Q4",MONTH('Avance Cuantitativo Productos'!J19)&lt;=12,OR('Avance Cuantitativo Productos'!I19="Mensual",'Avance Cuantitativo Productos'!I19="Bimestral",'Avance Cuantitativo Productos'!I19="Trimestral",'Avance Cuantitativo Productos'!I19="Semestral",'Avance Cuantitativo Productos'!I19="Anual"),SUM(OFFSET('Avance Cuantitativo Productos'!N19,0,0,1,IF($D$2="Q1",_xlfn.XMATCH($D$1,'Avance Cuantitativo Productos'!$N$4:$AS$4,0),IF($D$2="Q2",_xlfn.XMATCH($D$1,'Avance Cuantitativo Productos'!$N$4:$AS$4,0)+1,IF($D$2="Q3",_xlfn.XMATCH($D$1,'Avance Cuantitativo Productos'!$N$4:$AS$4,0)+2,IF($D$2="Q4",_xlfn.XMATCH($D$1,'Avance Cuantitativo Productos'!$N$4:$AS$4,0)+3))))))=0),"Rojo",IF(AND(YEAR('Avance Cuantitativo Productos'!J19)&lt;$D$1,ISERROR('Avance Cuantitativo Productos'!M19)=TRUE),"Rojo",IF(AND(YEAR('Avance Cuantitativo Productos'!J19)&gt;$D$1,ISERROR('Avance Cuantitativo Productos'!M19)=TRUE),"Verde",IF(H18&gt;=0.75,"Verde",IF(AND(H18&lt;0.75,H18&gt;=0.5),"Amarillo",IF(H18&lt;0.5,"Rojo")))))))))</f>
        <v>#NAME?</v>
      </c>
      <c r="J18" s="46" t="e" cm="1">
        <f t="array" aca="1" ref="J18" ca="1">+IF(AND(_xlfn.NUMBERVALUE($D$1)&gt;=YEAR('Avance Cuantitativo Productos'!J19),ISERROR('Avance Cuantitativo Productos'!M19)=TRUE,(OR(AND($D$2="Q1",MONTH('Avance Cuantitativo Productos'!J19)&lt;=3,OR('Avance Cuantitativo Productos'!I19="Mensual",'Avance Cuantitativo Productos'!I19="Bimestral",'Avance Cuantitativo Productos'!I19="Trimestral")),AND($D$2="Q2",MONTH('Avance Cuantitativo Productos'!J19)&lt;=6,OR('Avance Cuantitativo Productos'!I19="Mensual",'Avance Cuantitativo Productos'!I19="Bimestral",'Avance Cuantitativo Productos'!I19="Trimestral",'Avance Cuantitativo Productos'!I19="Semestral")),AND($D$2="Q3",MONTH('Avance Cuantitativo Productos'!J19)&lt;=9,OR('Avance Cuantitativo Productos'!I19="Mensual",'Avance Cuantitativo Productos'!I19="Bimestral",'Avance Cuantitativo Productos'!I19="Trimestral",'Avance Cuantitativo Productos'!I19="Semestral")),AND($D$2="Q4",MONTH('Avance Cuantitativo Productos'!J19)&lt;=12,OR('Avance Cuantitativo Productos'!I19="Mensual",'Avance Cuantitativo Productos'!I19="Bimestral",'Avance Cuantitativo Productos'!I19="Trimestral",'Avance Cuantitativo Productos'!I19="Semestral",'Avance Cuantitativo Productos'!I19="Anual"))))),0,_xlfn.XLOOKUP($D$1,TRANSPOSE(Anios_Reporte[Año de Reporte]),_xlfn.XLOOKUP(Panel_Control[[#This Row],[Producto '#]],Info_Productos_Cuantitativo[Producto No.],Avance_Acumulado_Productos[])))</f>
        <v>#NAME?</v>
      </c>
      <c r="K18" s="17" t="e">
        <f ca="1">+IF(AND($D$1=YEAR('Avance Cuantitativo Productos'!J19),'Panel de Control PRODUCTOS'!$D$2="Q1",MONTH('Avance Cuantitativo Productos'!J19)&lt;=3,OR('Avance Cuantitativo Productos'!I19="Mensual",'Avance Cuantitativo Productos'!I19="Bimestral",'Avance Cuantitativo Productos'!I19="Trimestral"),SUM(OFFSET('Avance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PRODUCTOS'!$D$2="Q2",MONTH('Avance Cuantitativo Productos'!J19)&lt;=6,OR('Avance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PRODUCTOS'!$D$2="Q3",MONTH('Avance Cuantitativo Productos'!J19)&lt;=9,OR('Avance Cuantitativo Productos'!I19="Mensual",'Avance Cuantitativo Productos'!I19="Bimestral",'Avance Cuantitativo Productos'!I19="Trimestral",'Avance Cuantitativo Productos'!I19="Semestral"),SUM(OFFSET('Avance Cuantitativo Productos'!N19,0,0,1,IF($D$2="Q1",_xlfn.XMATCH($D$1,'Avance Cuantitativo Productos'!$N$4:$AS$4,0),IF($D$2="Q2",_xlfn.XMATCH($D$1,'Avance Cuantitativo Productos'!$N$4:$AS$4,0)+1,IF($D$2="Q3",_xlfn.XMATCH($D$1,'Avance Cuantitativo Productos'!$N$4:$AS$4,0)+2,IF($D$2="Q4",_xlfn.XMATCH($D$1,'Avance Cuantitativo Productos'!$N$4:$AS$4,0)+3))))))=0),"Rojo",IF(AND($D$1=YEAR('Avance Cuantitativo Productos'!J19),'Panel de Control PRODUCTOS'!$D$2="Q4",MONTH('Avance Cuantitativo Productos'!J19)&lt;=12,OR('Avance Cuantitativo Productos'!I19="Mensual",'Avance Cuantitativo Productos'!I19="Bimestral",'Avance Cuantitativo Productos'!I19="Trimestral",'Avance Cuantitativo Productos'!I19="Semestral",'Avance Cuantitativo Productos'!I19="Anual"),SUM(OFFSET('Avance Cuantitativo Productos'!N19,0,0,1,IF($D$2="Q1",_xlfn.XMATCH($D$1,'Avance Cuantitativo Productos'!$N$4:$AS$4,0),IF($D$2="Q2",_xlfn.XMATCH($D$1,'Avance Cuantitativo Productos'!$N$4:$AS$4,0)+1,IF($D$2="Q3",_xlfn.XMATCH($D$1,'Avance Cuantitativo Productos'!$N$4:$AS$4,0)+2,IF($D$2="Q4",_xlfn.XMATCH($D$1,'Avance Cuantitativo Productos'!$N$4:$AS$4,0)+3))))))=0),"Rojo",IF(AND(YEAR('Avance Cuantitativo Productos'!J19)&lt;$D$1,ISERROR('Avance Cuantitativo Productos'!M19)=TRUE),"Rojo",IF(AND(YEAR('Avance Cuantitativo Productos'!J19)&gt;$D$1,ISERROR('Avance Cuantitativo Productos'!M19)=TRUE),"Verde",IF(J18&gt;=0.75,"Verde",IF(AND(J18&lt;0.75,J18&gt;=0.5),"Amarillo",IF(J18&lt;0.5,"Rojo")))))))))</f>
        <v>#NAME?</v>
      </c>
      <c r="L18" s="46" t="e">
        <f t="shared" ca="1" si="0"/>
        <v>#NAME?</v>
      </c>
      <c r="M18" s="26" t="e">
        <f ca="1">+IF(Panel_Control[[#This Row],[PAV. Ajustado (100%)]]="","",Panel_Control[[#This Row],[PAV. Ajustado (100%)]]*Panel_Control[[#This Row],[Ponderación relativa del Producto (%)]])</f>
        <v>#NAME?</v>
      </c>
      <c r="N18" s="46" t="e">
        <f t="shared" ca="1" si="1"/>
        <v>#NAME?</v>
      </c>
      <c r="O18" s="26" t="e">
        <f ca="1">+IF(Panel_Control[[#This Row],[Porcentaje de Avance Hasta la Vigencia (100%)]]="","",Panel_Control[[#This Row],[Porcentaje de Avance Hasta la Vigencia (100%)]]*Panel_Control[[#This Row],[Ponderación relativa del Producto (%)]])</f>
        <v>#NAME?</v>
      </c>
      <c r="P18" s="46" t="e">
        <f t="shared" ca="1" si="2"/>
        <v>#NAME?</v>
      </c>
      <c r="Q18" s="26" t="e">
        <f ca="1">+IF(Panel_Control[[#This Row],[PAA. (100%)]]="","",Panel_Control[[#This Row],[PAA. (100%)]]*Panel_Control[[#This Row],[Ponderación relativa del Producto (%)]])</f>
        <v>#NAME?</v>
      </c>
      <c r="R18" s="47" cm="1">
        <f t="array" ref="R18">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0.33333333333333331</v>
      </c>
      <c r="S18" s="26">
        <f>+Panel_Control[[#This Row],[Trayectoria Acumulada (Avance ideal)]]*Panel_Control[[#This Row],[Ponderación relativa del Producto (%)]]</f>
        <v>1.6666666666666666E-2</v>
      </c>
    </row>
    <row r="19" spans="1:19" ht="28.8" x14ac:dyDescent="0.3">
      <c r="A19" s="16">
        <f>+'Avance Cuantitativo Productos'!A20</f>
        <v>15</v>
      </c>
      <c r="B19" s="16" t="str">
        <f>+'Avance Cuantitativo Productos'!B20</f>
        <v>2.</v>
      </c>
      <c r="C19" s="44" t="str">
        <f>+'Avance Cuantitativo Productos'!C20</f>
        <v xml:space="preserve">2.1.2. Agenda de trabajo colaborativa para el fortalecimiento de la economía del sector del deporte, recreación y actividad física </v>
      </c>
      <c r="D19" s="44" t="str">
        <f>+'Avance Cuantitativo Productos'!E20</f>
        <v xml:space="preserve">Cultura, Recreación y Deporte </v>
      </c>
      <c r="E19" s="45">
        <f>IF(ISNA('Avance Cuantitativo Productos'!M20)=FALSE,'Avance Cuantitativo Productos'!F20,IF($D$1&gt;YEAR('Avance Cuantitativo Productos'!J20),'Avance Cuantitativo Productos'!F20,IF($D$1&lt;YEAR('Avance Cuantitativo Productos'!J20),0,IF(AND($D$1=YEAR('Avance Cuantitativo Productos'!J20),$D$2="Q1",OR('Avance Cuantitativo Productos'!I20&lt;&gt;"Mensual",'Avance Cuantitativo Productos'!I20&lt;&gt;"Bimestral",'Avance Cuantitativo Productos'!I20&lt;&gt;"Trimestral")),0,IF(AND($D$1=YEAR('Avance Cuantitativo Productos'!J20),$D$2="Q2",OR('Avance Cuantitativo Productos'!I20&lt;&gt;"Mensual",'Avance Cuantitativo Productos'!I20&lt;&gt;"Bimestral",'Avance Cuantitativo Productos'!I20&lt;&gt;"Trimestral",'Avance Cuantitativo Productos'!I20&lt;&gt;"Semestral")),0,IF(AND($D$1=YEAR('Avance Cuantitativo Productos'!J20),$D$2="Q3",OR('Avance Cuantitativo Productos'!I20&lt;&gt;"Mensual",'Avance Cuantitativo Productos'!I20&lt;&gt;"Bimestral",'Avance Cuantitativo Productos'!I20&lt;&gt;"Trimestral",'Avance Cuantitativo Productos'!I20&lt;&gt;"Semestral")),0,IF(AND($D$1=YEAR('Avance Cuantitativo Productos'!J20),$D$2="Q4",OR('Avance Cuantitativo Productos'!I20&lt;&gt;"Mensual",'Avance Cuantitativo Productos'!I20&lt;&gt;"Bimestral",'Avance Cuantitativo Productos'!I20&lt;&gt;"Trimestral",'Avance Cuantitativo Productos'!I20&lt;&gt;"Semestral",'Avance Cuantitativo Productos'!I20&lt;&gt;"Anual")),0,'Avance Cuantitativo Productos'!F20)))))))</f>
        <v>0.05</v>
      </c>
      <c r="F19" s="46" t="e" cm="1">
        <f t="array" aca="1" ref="F19" ca="1">+IF(AND(_xlfn.NUMBERVALUE($D$1)&gt;=YEAR('Avance Cuantitativo Productos'!J20),ISERROR('Avance Cuantitativo Productos'!M20)=TRUE,(OR(AND($D$2="Q1",MONTH('Avance Cuantitativo Productos'!J20)&lt;=3,OR('Avance Cuantitativo Productos'!I20="Mensual",'Avance Cuantitativo Productos'!I20="Bimestral",'Avance Cuantitativo Productos'!I20="Trimestral")),AND($D$2="Q2",MONTH('Avance Cuantitativo Productos'!J20)&lt;=6,OR('Avance Cuantitativo Productos'!I20="Mensual",'Avance Cuantitativo Productos'!I20="Bimestral",'Avance Cuantitativo Productos'!I20="Trimestral",'Avance Cuantitativo Productos'!I20="Semestral")),AND($D$2="Q3",MONTH('Avance Cuantitativo Productos'!J20)&lt;=9,OR('Avance Cuantitativo Productos'!I20="Mensual",'Avance Cuantitativo Productos'!I20="Bimestral",'Avance Cuantitativo Productos'!I20="Trimestral",'Avance Cuantitativo Productos'!I20="Semestral")),AND($D$2="Q4",MONTH('Avance Cuantitativo Productos'!J20)&lt;=12,OR('Avance Cuantitativo Productos'!I20="Mensual",'Avance Cuantitativo Productos'!I20="Bimestral",'Avance Cuantitativo Productos'!I20="Trimestral",'Avance Cuantitativo Productos'!I20="Semestral",'Avance Cuantitativo Productos'!I20="Anual"))))),0,_xlfn.XLOOKUP($D$1,TRANSPOSE(Anios_Reporte[Año de Reporte]),_xlfn.XLOOKUP(Panel_Control[[#This Row],[Producto '#]],Info_Productos_Cuantitativo[Producto No.],Avance_en_Vigencia_Productos[])))</f>
        <v>#NAME?</v>
      </c>
      <c r="G19" s="17" t="e">
        <f ca="1">+IF(AND($D$1=YEAR('Avance Cuantitativo Productos'!J20),'Panel de Control PRODUCTOS'!$D$2="Q1",OR('Avance Cuantitativo Productos'!I20="Mensual",'Avance Cuantitativo Productos'!I20="Bimestral",'Avance Cuantitativo Productos'!I20="Trimestral"),MONTH('Avance Cuantitativo Productos'!J20)&lt;=3,SUM(OFFSET('Avance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PRODUCTOS'!$D$2="Q2",MONTH('Avance Cuantitativo Productos'!J20)&lt;=6,OR('Avance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PRODUCTOS'!$D$2="Q3",MONTH('Avance Cuantitativo Productos'!J20)&lt;=9,OR('Avance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PRODUCTOS'!$D$2="Q4",MONTH('Avance Cuantitativo Productos'!J20)&lt;=12,OR('Avance Cuantitativo Productos'!I20="Mensual",'Avance Cuantitativo Productos'!I20="Bimestral",'Avance Cuantitativo Productos'!I20="Trimestral",'Avance Cuantitativo Productos'!I20="Semestral",'Avance Cuantitativo Productos'!I20="Anual"),SUM(OFFSET('Avance Cuantitativo Productos'!N20,0,0,1,IF($D$2="Q1",_xlfn.XMATCH($D$1,'Avance Cuantitativo Productos'!$N$4:$AS$4,0),IF($D$2="Q2",_xlfn.XMATCH($D$1,'Avance Cuantitativo Productos'!$N$4:$AS$4,0)+1,IF($D$2="Q3",_xlfn.XMATCH($D$1,'Avance Cuantitativo Productos'!$N$4:$AS$4,0)+2,IF($D$2="Q4",_xlfn.XMATCH($D$1,'Avance Cuantitativo Productos'!$N$4:$AS$4,0)+3)))))))=0,"Rojo",IF(F19&gt;=0.75,"Verde",IF(AND(F19&lt;0.75,F19&gt;=0.5),"Amarillo",IF(F19&lt;0.5,"Rojo","ERROR")))))))</f>
        <v>#NAME?</v>
      </c>
      <c r="H19" s="46" t="e" cm="1">
        <f t="array" aca="1" ref="H19" ca="1">+IF(AND(_xlfn.NUMBERVALUE($D$1)&gt;=YEAR('Avance Cuantitativo Productos'!J20),ISERROR('Avance Cuantitativo Productos'!M20)=TRUE,(OR(AND($D$2="Q1",MONTH('Avance Cuantitativo Productos'!J20)&lt;=3,OR('Avance Cuantitativo Productos'!I20="Mensual",'Avance Cuantitativo Productos'!I20="Bimestral",'Avance Cuantitativo Productos'!I20="Trimestral")),AND($D$2="Q2",MONTH('Avance Cuantitativo Productos'!J20)&lt;=6,OR('Avance Cuantitativo Productos'!I20="Mensual",'Avance Cuantitativo Productos'!I20="Bimestral",'Avance Cuantitativo Productos'!I20="Trimestral",'Avance Cuantitativo Productos'!I20="Semestral")),AND($D$2="Q3",MONTH('Avance Cuantitativo Productos'!J20)&lt;=9,OR('Avance Cuantitativo Productos'!I20="Mensual",'Avance Cuantitativo Productos'!I20="Bimestral",'Avance Cuantitativo Productos'!I20="Trimestral",'Avance Cuantitativo Productos'!I20="Semestral")),AND($D$2="Q4",MONTH('Avance Cuantitativo Productos'!J20)&lt;=12,OR('Avance Cuantitativo Productos'!I20="Mensual",'Avance Cuantitativo Productos'!I20="Bimestral",'Avance Cuantitativo Productos'!I20="Trimestral",'Avance Cuantitativo Productos'!I20="Semestral",'Avance Cuantitativo Productos'!I20="Anual"))))),0,_xlfn.XLOOKUP($D$1,TRANSPOSE(Anios_Reporte[Año de Reporte]),_xlfn.XLOOKUP(Panel_Control[[#This Row],[Producto '#]],Info_Productos_Cuantitativo[Producto No.],Avance_Hasta_Vigencia_Productos[])))</f>
        <v>#NAME?</v>
      </c>
      <c r="I19" s="16" t="e">
        <f ca="1">+IF(AND($D$1=YEAR('Avance Cuantitativo Productos'!J20),'Panel de Control PRODUCTOS'!$D$2="Q1",MONTH('Avance Cuantitativo Productos'!J20)&lt;=3,OR('Avance Cuantitativo Productos'!I20="Mensual",'Avance Cuantitativo Productos'!I20="Bimestral",'Avance Cuantitativo Productos'!I20="Trimestral"),SUM(OFFSET('Avance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PRODUCTOS'!$D$2="Q2",MONTH('Avance Cuantitativo Productos'!J20)&lt;=6,OR('Avance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PRODUCTOS'!$D$2="Q3",MONTH('Avance Cuantitativo Productos'!J20)&lt;=9,OR('Avance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PRODUCTOS'!$D$2="Q4",MONTH('Avance Cuantitativo Productos'!J20)&lt;=12,OR('Avance Cuantitativo Productos'!I20="Mensual",'Avance Cuantitativo Productos'!I20="Bimestral",'Avance Cuantitativo Productos'!I20="Trimestral",'Avance Cuantitativo Productos'!I20="Semestral",'Avance Cuantitativo Productos'!I20="Anual"),SUM(OFFSET('Avance Cuantitativo Productos'!N20,0,0,1,IF($D$2="Q1",_xlfn.XMATCH($D$1,'Avance Cuantitativo Productos'!$N$4:$AS$4,0),IF($D$2="Q2",_xlfn.XMATCH($D$1,'Avance Cuantitativo Productos'!$N$4:$AS$4,0)+1,IF($D$2="Q3",_xlfn.XMATCH($D$1,'Avance Cuantitativo Productos'!$N$4:$AS$4,0)+2,IF($D$2="Q4",_xlfn.XMATCH($D$1,'Avance Cuantitativo Productos'!$N$4:$AS$4,0)+3))))))=0),"Rojo",IF(AND(YEAR('Avance Cuantitativo Productos'!J20)&lt;$D$1,ISERROR('Avance Cuantitativo Productos'!M20)=TRUE),"Rojo",IF(AND(YEAR('Avance Cuantitativo Productos'!J20)&gt;$D$1,ISERROR('Avance Cuantitativo Productos'!M20)=TRUE),"Verde",IF(H19&gt;=0.75,"Verde",IF(AND(H19&lt;0.75,H19&gt;=0.5),"Amarillo",IF(H19&lt;0.5,"Rojo")))))))))</f>
        <v>#NAME?</v>
      </c>
      <c r="J19" s="46" t="e" cm="1">
        <f t="array" aca="1" ref="J19" ca="1">+IF(AND(_xlfn.NUMBERVALUE($D$1)&gt;=YEAR('Avance Cuantitativo Productos'!J20),ISERROR('Avance Cuantitativo Productos'!M20)=TRUE,(OR(AND($D$2="Q1",MONTH('Avance Cuantitativo Productos'!J20)&lt;=3,OR('Avance Cuantitativo Productos'!I20="Mensual",'Avance Cuantitativo Productos'!I20="Bimestral",'Avance Cuantitativo Productos'!I20="Trimestral")),AND($D$2="Q2",MONTH('Avance Cuantitativo Productos'!J20)&lt;=6,OR('Avance Cuantitativo Productos'!I20="Mensual",'Avance Cuantitativo Productos'!I20="Bimestral",'Avance Cuantitativo Productos'!I20="Trimestral",'Avance Cuantitativo Productos'!I20="Semestral")),AND($D$2="Q3",MONTH('Avance Cuantitativo Productos'!J20)&lt;=9,OR('Avance Cuantitativo Productos'!I20="Mensual",'Avance Cuantitativo Productos'!I20="Bimestral",'Avance Cuantitativo Productos'!I20="Trimestral",'Avance Cuantitativo Productos'!I20="Semestral")),AND($D$2="Q4",MONTH('Avance Cuantitativo Productos'!J20)&lt;=12,OR('Avance Cuantitativo Productos'!I20="Mensual",'Avance Cuantitativo Productos'!I20="Bimestral",'Avance Cuantitativo Productos'!I20="Trimestral",'Avance Cuantitativo Productos'!I20="Semestral",'Avance Cuantitativo Productos'!I20="Anual"))))),0,_xlfn.XLOOKUP($D$1,TRANSPOSE(Anios_Reporte[Año de Reporte]),_xlfn.XLOOKUP(Panel_Control[[#This Row],[Producto '#]],Info_Productos_Cuantitativo[Producto No.],Avance_Acumulado_Productos[])))</f>
        <v>#NAME?</v>
      </c>
      <c r="K19" s="17" t="e">
        <f ca="1">+IF(AND($D$1=YEAR('Avance Cuantitativo Productos'!J20),'Panel de Control PRODUCTOS'!$D$2="Q1",MONTH('Avance Cuantitativo Productos'!J20)&lt;=3,OR('Avance Cuantitativo Productos'!I20="Mensual",'Avance Cuantitativo Productos'!I20="Bimestral",'Avance Cuantitativo Productos'!I20="Trimestral"),SUM(OFFSET('Avance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PRODUCTOS'!$D$2="Q2",MONTH('Avance Cuantitativo Productos'!J20)&lt;=6,OR('Avance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PRODUCTOS'!$D$2="Q3",MONTH('Avance Cuantitativo Productos'!J20)&lt;=9,OR('Avance Cuantitativo Productos'!I20="Mensual",'Avance Cuantitativo Productos'!I20="Bimestral",'Avance Cuantitativo Productos'!I20="Trimestral",'Avance Cuantitativo Productos'!I20="Semestral"),SUM(OFFSET('Avance Cuantitativo Productos'!N20,0,0,1,IF($D$2="Q1",_xlfn.XMATCH($D$1,'Avance Cuantitativo Productos'!$N$4:$AS$4,0),IF($D$2="Q2",_xlfn.XMATCH($D$1,'Avance Cuantitativo Productos'!$N$4:$AS$4,0)+1,IF($D$2="Q3",_xlfn.XMATCH($D$1,'Avance Cuantitativo Productos'!$N$4:$AS$4,0)+2,IF($D$2="Q4",_xlfn.XMATCH($D$1,'Avance Cuantitativo Productos'!$N$4:$AS$4,0)+3))))))=0),"Rojo",IF(AND($D$1=YEAR('Avance Cuantitativo Productos'!J20),'Panel de Control PRODUCTOS'!$D$2="Q4",MONTH('Avance Cuantitativo Productos'!J20)&lt;=12,OR('Avance Cuantitativo Productos'!I20="Mensual",'Avance Cuantitativo Productos'!I20="Bimestral",'Avance Cuantitativo Productos'!I20="Trimestral",'Avance Cuantitativo Productos'!I20="Semestral",'Avance Cuantitativo Productos'!I20="Anual"),SUM(OFFSET('Avance Cuantitativo Productos'!N20,0,0,1,IF($D$2="Q1",_xlfn.XMATCH($D$1,'Avance Cuantitativo Productos'!$N$4:$AS$4,0),IF($D$2="Q2",_xlfn.XMATCH($D$1,'Avance Cuantitativo Productos'!$N$4:$AS$4,0)+1,IF($D$2="Q3",_xlfn.XMATCH($D$1,'Avance Cuantitativo Productos'!$N$4:$AS$4,0)+2,IF($D$2="Q4",_xlfn.XMATCH($D$1,'Avance Cuantitativo Productos'!$N$4:$AS$4,0)+3))))))=0),"Rojo",IF(AND(YEAR('Avance Cuantitativo Productos'!J20)&lt;$D$1,ISERROR('Avance Cuantitativo Productos'!M20)=TRUE),"Rojo",IF(AND(YEAR('Avance Cuantitativo Productos'!J20)&gt;$D$1,ISERROR('Avance Cuantitativo Productos'!M20)=TRUE),"Verde",IF(J19&gt;=0.75,"Verde",IF(AND(J19&lt;0.75,J19&gt;=0.5),"Amarillo",IF(J19&lt;0.5,"Rojo")))))))))</f>
        <v>#NAME?</v>
      </c>
      <c r="L19" s="46" t="e">
        <f t="shared" ca="1" si="0"/>
        <v>#NAME?</v>
      </c>
      <c r="M19" s="26" t="e">
        <f ca="1">+IF(Panel_Control[[#This Row],[PAV. Ajustado (100%)]]="","",Panel_Control[[#This Row],[PAV. Ajustado (100%)]]*Panel_Control[[#This Row],[Ponderación relativa del Producto (%)]])</f>
        <v>#NAME?</v>
      </c>
      <c r="N19" s="46" t="e">
        <f t="shared" ca="1" si="1"/>
        <v>#NAME?</v>
      </c>
      <c r="O19" s="26" t="e">
        <f ca="1">+IF(Panel_Control[[#This Row],[Porcentaje de Avance Hasta la Vigencia (100%)]]="","",Panel_Control[[#This Row],[Porcentaje de Avance Hasta la Vigencia (100%)]]*Panel_Control[[#This Row],[Ponderación relativa del Producto (%)]])</f>
        <v>#NAME?</v>
      </c>
      <c r="P19" s="46" t="e">
        <f t="shared" ca="1" si="2"/>
        <v>#NAME?</v>
      </c>
      <c r="Q19" s="26" t="e">
        <f ca="1">+IF(Panel_Control[[#This Row],[PAA. (100%)]]="","",Panel_Control[[#This Row],[PAA. (100%)]]*Panel_Control[[#This Row],[Ponderación relativa del Producto (%)]])</f>
        <v>#NAME?</v>
      </c>
      <c r="R19" s="47" cm="1">
        <f t="array" ref="R19">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0.26923076923076922</v>
      </c>
      <c r="S19" s="26">
        <f>+Panel_Control[[#This Row],[Trayectoria Acumulada (Avance ideal)]]*Panel_Control[[#This Row],[Ponderación relativa del Producto (%)]]</f>
        <v>1.3461538461538462E-2</v>
      </c>
    </row>
    <row r="20" spans="1:19" ht="28.8" x14ac:dyDescent="0.3">
      <c r="A20" s="16">
        <f>+'Avance Cuantitativo Productos'!A21</f>
        <v>16</v>
      </c>
      <c r="B20" s="16" t="str">
        <f>+'Avance Cuantitativo Productos'!B21</f>
        <v>2.</v>
      </c>
      <c r="C20" s="44" t="str">
        <f>+'Avance Cuantitativo Productos'!C21</f>
        <v>2.2.1. Servicio Social Estudiantil en los componentes de Actividad Física, Recreación y Deporte desarrollados por el IDRD.</v>
      </c>
      <c r="D20" s="44" t="str">
        <f>+'Avance Cuantitativo Productos'!E21</f>
        <v xml:space="preserve">Cultura, Recreación y Deporte </v>
      </c>
      <c r="E20" s="45">
        <f>IF(ISNA('Avance Cuantitativo Productos'!M21)=FALSE,'Avance Cuantitativo Productos'!F21,IF($D$1&gt;YEAR('Avance Cuantitativo Productos'!J21),'Avance Cuantitativo Productos'!F21,IF($D$1&lt;YEAR('Avance Cuantitativo Productos'!J21),0,IF(AND($D$1=YEAR('Avance Cuantitativo Productos'!J21),$D$2="Q1",OR('Avance Cuantitativo Productos'!I21&lt;&gt;"Mensual",'Avance Cuantitativo Productos'!I21&lt;&gt;"Bimestral",'Avance Cuantitativo Productos'!I21&lt;&gt;"Trimestral")),0,IF(AND($D$1=YEAR('Avance Cuantitativo Productos'!J21),$D$2="Q2",OR('Avance Cuantitativo Productos'!I21&lt;&gt;"Mensual",'Avance Cuantitativo Productos'!I21&lt;&gt;"Bimestral",'Avance Cuantitativo Productos'!I21&lt;&gt;"Trimestral",'Avance Cuantitativo Productos'!I21&lt;&gt;"Semestral")),0,IF(AND($D$1=YEAR('Avance Cuantitativo Productos'!J21),$D$2="Q3",OR('Avance Cuantitativo Productos'!I21&lt;&gt;"Mensual",'Avance Cuantitativo Productos'!I21&lt;&gt;"Bimestral",'Avance Cuantitativo Productos'!I21&lt;&gt;"Trimestral",'Avance Cuantitativo Productos'!I21&lt;&gt;"Semestral")),0,IF(AND($D$1=YEAR('Avance Cuantitativo Productos'!J21),$D$2="Q4",OR('Avance Cuantitativo Productos'!I21&lt;&gt;"Mensual",'Avance Cuantitativo Productos'!I21&lt;&gt;"Bimestral",'Avance Cuantitativo Productos'!I21&lt;&gt;"Trimestral",'Avance Cuantitativo Productos'!I21&lt;&gt;"Semestral",'Avance Cuantitativo Productos'!I21&lt;&gt;"Anual")),0,'Avance Cuantitativo Productos'!F21)))))))</f>
        <v>0.03</v>
      </c>
      <c r="F20" s="46" t="e" cm="1">
        <f t="array" aca="1" ref="F20" ca="1">+IF(AND(_xlfn.NUMBERVALUE($D$1)&gt;=YEAR('Avance Cuantitativo Productos'!J21),ISERROR('Avance Cuantitativo Productos'!M21)=TRUE,(OR(AND($D$2="Q1",MONTH('Avance Cuantitativo Productos'!J21)&lt;=3,OR('Avance Cuantitativo Productos'!I21="Mensual",'Avance Cuantitativo Productos'!I21="Bimestral",'Avance Cuantitativo Productos'!I21="Trimestral")),AND($D$2="Q2",MONTH('Avance Cuantitativo Productos'!J21)&lt;=6,OR('Avance Cuantitativo Productos'!I21="Mensual",'Avance Cuantitativo Productos'!I21="Bimestral",'Avance Cuantitativo Productos'!I21="Trimestral",'Avance Cuantitativo Productos'!I21="Semestral")),AND($D$2="Q3",MONTH('Avance Cuantitativo Productos'!J21)&lt;=9,OR('Avance Cuantitativo Productos'!I21="Mensual",'Avance Cuantitativo Productos'!I21="Bimestral",'Avance Cuantitativo Productos'!I21="Trimestral",'Avance Cuantitativo Productos'!I21="Semestral")),AND($D$2="Q4",MONTH('Avance Cuantitativo Productos'!J21)&lt;=12,OR('Avance Cuantitativo Productos'!I21="Mensual",'Avance Cuantitativo Productos'!I21="Bimestral",'Avance Cuantitativo Productos'!I21="Trimestral",'Avance Cuantitativo Productos'!I21="Semestral",'Avance Cuantitativo Productos'!I21="Anual"))))),0,_xlfn.XLOOKUP($D$1,TRANSPOSE(Anios_Reporte[Año de Reporte]),_xlfn.XLOOKUP(Panel_Control[[#This Row],[Producto '#]],Info_Productos_Cuantitativo[Producto No.],Avance_en_Vigencia_Productos[])))</f>
        <v>#NAME?</v>
      </c>
      <c r="G20" s="17" t="e">
        <f ca="1">+IF(AND($D$1=YEAR('Avance Cuantitativo Productos'!J21),'Panel de Control PRODUCTOS'!$D$2="Q1",OR('Avance Cuantitativo Productos'!I21="Mensual",'Avance Cuantitativo Productos'!I21="Bimestral",'Avance Cuantitativo Productos'!I21="Trimestral"),MONTH('Avance Cuantitativo Productos'!J21)&lt;=3,SUM(OFFSET('Avance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PRODUCTOS'!$D$2="Q2",MONTH('Avance Cuantitativo Productos'!J21)&lt;=6,OR('Avance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PRODUCTOS'!$D$2="Q3",MONTH('Avance Cuantitativo Productos'!J21)&lt;=9,OR('Avance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PRODUCTOS'!$D$2="Q4",MONTH('Avance Cuantitativo Productos'!J21)&lt;=12,OR('Avance Cuantitativo Productos'!I21="Mensual",'Avance Cuantitativo Productos'!I21="Bimestral",'Avance Cuantitativo Productos'!I21="Trimestral",'Avance Cuantitativo Productos'!I21="Semestral",'Avance Cuantitativo Productos'!I21="Anual"),SUM(OFFSET('Avance Cuantitativo Productos'!N21,0,0,1,IF($D$2="Q1",_xlfn.XMATCH($D$1,'Avance Cuantitativo Productos'!$N$4:$AS$4,0),IF($D$2="Q2",_xlfn.XMATCH($D$1,'Avance Cuantitativo Productos'!$N$4:$AS$4,0)+1,IF($D$2="Q3",_xlfn.XMATCH($D$1,'Avance Cuantitativo Productos'!$N$4:$AS$4,0)+2,IF($D$2="Q4",_xlfn.XMATCH($D$1,'Avance Cuantitativo Productos'!$N$4:$AS$4,0)+3)))))))=0,"Rojo",IF(F20&gt;=0.75,"Verde",IF(AND(F20&lt;0.75,F20&gt;=0.5),"Amarillo",IF(F20&lt;0.5,"Rojo","ERROR")))))))</f>
        <v>#NAME?</v>
      </c>
      <c r="H20" s="46" t="e" cm="1">
        <f t="array" aca="1" ref="H20" ca="1">+IF(AND(_xlfn.NUMBERVALUE($D$1)&gt;=YEAR('Avance Cuantitativo Productos'!J21),ISERROR('Avance Cuantitativo Productos'!M21)=TRUE,(OR(AND($D$2="Q1",MONTH('Avance Cuantitativo Productos'!J21)&lt;=3,OR('Avance Cuantitativo Productos'!I21="Mensual",'Avance Cuantitativo Productos'!I21="Bimestral",'Avance Cuantitativo Productos'!I21="Trimestral")),AND($D$2="Q2",MONTH('Avance Cuantitativo Productos'!J21)&lt;=6,OR('Avance Cuantitativo Productos'!I21="Mensual",'Avance Cuantitativo Productos'!I21="Bimestral",'Avance Cuantitativo Productos'!I21="Trimestral",'Avance Cuantitativo Productos'!I21="Semestral")),AND($D$2="Q3",MONTH('Avance Cuantitativo Productos'!J21)&lt;=9,OR('Avance Cuantitativo Productos'!I21="Mensual",'Avance Cuantitativo Productos'!I21="Bimestral",'Avance Cuantitativo Productos'!I21="Trimestral",'Avance Cuantitativo Productos'!I21="Semestral")),AND($D$2="Q4",MONTH('Avance Cuantitativo Productos'!J21)&lt;=12,OR('Avance Cuantitativo Productos'!I21="Mensual",'Avance Cuantitativo Productos'!I21="Bimestral",'Avance Cuantitativo Productos'!I21="Trimestral",'Avance Cuantitativo Productos'!I21="Semestral",'Avance Cuantitativo Productos'!I21="Anual"))))),0,_xlfn.XLOOKUP($D$1,TRANSPOSE(Anios_Reporte[Año de Reporte]),_xlfn.XLOOKUP(Panel_Control[[#This Row],[Producto '#]],Info_Productos_Cuantitativo[Producto No.],Avance_Hasta_Vigencia_Productos[])))</f>
        <v>#NAME?</v>
      </c>
      <c r="I20" s="16" t="e">
        <f ca="1">+IF(AND($D$1=YEAR('Avance Cuantitativo Productos'!J21),'Panel de Control PRODUCTOS'!$D$2="Q1",MONTH('Avance Cuantitativo Productos'!J21)&lt;=3,OR('Avance Cuantitativo Productos'!I21="Mensual",'Avance Cuantitativo Productos'!I21="Bimestral",'Avance Cuantitativo Productos'!I21="Trimestral"),SUM(OFFSET('Avance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PRODUCTOS'!$D$2="Q2",MONTH('Avance Cuantitativo Productos'!J21)&lt;=6,OR('Avance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PRODUCTOS'!$D$2="Q3",MONTH('Avance Cuantitativo Productos'!J21)&lt;=9,OR('Avance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PRODUCTOS'!$D$2="Q4",MONTH('Avance Cuantitativo Productos'!J21)&lt;=12,OR('Avance Cuantitativo Productos'!I21="Mensual",'Avance Cuantitativo Productos'!I21="Bimestral",'Avance Cuantitativo Productos'!I21="Trimestral",'Avance Cuantitativo Productos'!I21="Semestral",'Avance Cuantitativo Productos'!I21="Anual"),SUM(OFFSET('Avance Cuantitativo Productos'!N21,0,0,1,IF($D$2="Q1",_xlfn.XMATCH($D$1,'Avance Cuantitativo Productos'!$N$4:$AS$4,0),IF($D$2="Q2",_xlfn.XMATCH($D$1,'Avance Cuantitativo Productos'!$N$4:$AS$4,0)+1,IF($D$2="Q3",_xlfn.XMATCH($D$1,'Avance Cuantitativo Productos'!$N$4:$AS$4,0)+2,IF($D$2="Q4",_xlfn.XMATCH($D$1,'Avance Cuantitativo Productos'!$N$4:$AS$4,0)+3))))))=0),"Rojo",IF(AND(YEAR('Avance Cuantitativo Productos'!J21)&lt;$D$1,ISERROR('Avance Cuantitativo Productos'!M21)=TRUE),"Rojo",IF(AND(YEAR('Avance Cuantitativo Productos'!J21)&gt;$D$1,ISERROR('Avance Cuantitativo Productos'!M21)=TRUE),"Verde",IF(H20&gt;=0.75,"Verde",IF(AND(H20&lt;0.75,H20&gt;=0.5),"Amarillo",IF(H20&lt;0.5,"Rojo")))))))))</f>
        <v>#NAME?</v>
      </c>
      <c r="J20" s="46" t="e" cm="1">
        <f t="array" aca="1" ref="J20" ca="1">+IF(AND(_xlfn.NUMBERVALUE($D$1)&gt;=YEAR('Avance Cuantitativo Productos'!J21),ISERROR('Avance Cuantitativo Productos'!M21)=TRUE,(OR(AND($D$2="Q1",MONTH('Avance Cuantitativo Productos'!J21)&lt;=3,OR('Avance Cuantitativo Productos'!I21="Mensual",'Avance Cuantitativo Productos'!I21="Bimestral",'Avance Cuantitativo Productos'!I21="Trimestral")),AND($D$2="Q2",MONTH('Avance Cuantitativo Productos'!J21)&lt;=6,OR('Avance Cuantitativo Productos'!I21="Mensual",'Avance Cuantitativo Productos'!I21="Bimestral",'Avance Cuantitativo Productos'!I21="Trimestral",'Avance Cuantitativo Productos'!I21="Semestral")),AND($D$2="Q3",MONTH('Avance Cuantitativo Productos'!J21)&lt;=9,OR('Avance Cuantitativo Productos'!I21="Mensual",'Avance Cuantitativo Productos'!I21="Bimestral",'Avance Cuantitativo Productos'!I21="Trimestral",'Avance Cuantitativo Productos'!I21="Semestral")),AND($D$2="Q4",MONTH('Avance Cuantitativo Productos'!J21)&lt;=12,OR('Avance Cuantitativo Productos'!I21="Mensual",'Avance Cuantitativo Productos'!I21="Bimestral",'Avance Cuantitativo Productos'!I21="Trimestral",'Avance Cuantitativo Productos'!I21="Semestral",'Avance Cuantitativo Productos'!I21="Anual"))))),0,_xlfn.XLOOKUP($D$1,TRANSPOSE(Anios_Reporte[Año de Reporte]),_xlfn.XLOOKUP(Panel_Control[[#This Row],[Producto '#]],Info_Productos_Cuantitativo[Producto No.],Avance_Acumulado_Productos[])))</f>
        <v>#NAME?</v>
      </c>
      <c r="K20" s="17" t="e">
        <f ca="1">+IF(AND($D$1=YEAR('Avance Cuantitativo Productos'!J21),'Panel de Control PRODUCTOS'!$D$2="Q1",MONTH('Avance Cuantitativo Productos'!J21)&lt;=3,OR('Avance Cuantitativo Productos'!I21="Mensual",'Avance Cuantitativo Productos'!I21="Bimestral",'Avance Cuantitativo Productos'!I21="Trimestral"),SUM(OFFSET('Avance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PRODUCTOS'!$D$2="Q2",MONTH('Avance Cuantitativo Productos'!J21)&lt;=6,OR('Avance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PRODUCTOS'!$D$2="Q3",MONTH('Avance Cuantitativo Productos'!J21)&lt;=9,OR('Avance Cuantitativo Productos'!I21="Mensual",'Avance Cuantitativo Productos'!I21="Bimestral",'Avance Cuantitativo Productos'!I21="Trimestral",'Avance Cuantitativo Productos'!I21="Semestral"),SUM(OFFSET('Avance Cuantitativo Productos'!N21,0,0,1,IF($D$2="Q1",_xlfn.XMATCH($D$1,'Avance Cuantitativo Productos'!$N$4:$AS$4,0),IF($D$2="Q2",_xlfn.XMATCH($D$1,'Avance Cuantitativo Productos'!$N$4:$AS$4,0)+1,IF($D$2="Q3",_xlfn.XMATCH($D$1,'Avance Cuantitativo Productos'!$N$4:$AS$4,0)+2,IF($D$2="Q4",_xlfn.XMATCH($D$1,'Avance Cuantitativo Productos'!$N$4:$AS$4,0)+3))))))=0),"Rojo",IF(AND($D$1=YEAR('Avance Cuantitativo Productos'!J21),'Panel de Control PRODUCTOS'!$D$2="Q4",MONTH('Avance Cuantitativo Productos'!J21)&lt;=12,OR('Avance Cuantitativo Productos'!I21="Mensual",'Avance Cuantitativo Productos'!I21="Bimestral",'Avance Cuantitativo Productos'!I21="Trimestral",'Avance Cuantitativo Productos'!I21="Semestral",'Avance Cuantitativo Productos'!I21="Anual"),SUM(OFFSET('Avance Cuantitativo Productos'!N21,0,0,1,IF($D$2="Q1",_xlfn.XMATCH($D$1,'Avance Cuantitativo Productos'!$N$4:$AS$4,0),IF($D$2="Q2",_xlfn.XMATCH($D$1,'Avance Cuantitativo Productos'!$N$4:$AS$4,0)+1,IF($D$2="Q3",_xlfn.XMATCH($D$1,'Avance Cuantitativo Productos'!$N$4:$AS$4,0)+2,IF($D$2="Q4",_xlfn.XMATCH($D$1,'Avance Cuantitativo Productos'!$N$4:$AS$4,0)+3))))))=0),"Rojo",IF(AND(YEAR('Avance Cuantitativo Productos'!J21)&lt;$D$1,ISERROR('Avance Cuantitativo Productos'!M21)=TRUE),"Rojo",IF(AND(YEAR('Avance Cuantitativo Productos'!J21)&gt;$D$1,ISERROR('Avance Cuantitativo Productos'!M21)=TRUE),"Verde",IF(J20&gt;=0.75,"Verde",IF(AND(J20&lt;0.75,J20&gt;=0.5),"Amarillo",IF(J20&lt;0.5,"Rojo")))))))))</f>
        <v>#NAME?</v>
      </c>
      <c r="L20" s="46" t="e">
        <f t="shared" ca="1" si="0"/>
        <v>#NAME?</v>
      </c>
      <c r="M20" s="26" t="e">
        <f ca="1">+IF(Panel_Control[[#This Row],[PAV. Ajustado (100%)]]="","",Panel_Control[[#This Row],[PAV. Ajustado (100%)]]*Panel_Control[[#This Row],[Ponderación relativa del Producto (%)]])</f>
        <v>#NAME?</v>
      </c>
      <c r="N20" s="46" t="e">
        <f t="shared" ca="1" si="1"/>
        <v>#NAME?</v>
      </c>
      <c r="O20" s="26" t="e">
        <f ca="1">+IF(Panel_Control[[#This Row],[Porcentaje de Avance Hasta la Vigencia (100%)]]="","",Panel_Control[[#This Row],[Porcentaje de Avance Hasta la Vigencia (100%)]]*Panel_Control[[#This Row],[Ponderación relativa del Producto (%)]])</f>
        <v>#NAME?</v>
      </c>
      <c r="P20" s="46" t="e">
        <f t="shared" ca="1" si="2"/>
        <v>#NAME?</v>
      </c>
      <c r="Q20" s="26" t="e">
        <f ca="1">+IF(Panel_Control[[#This Row],[PAA. (100%)]]="","",Panel_Control[[#This Row],[PAA. (100%)]]*Panel_Control[[#This Row],[Ponderación relativa del Producto (%)]])</f>
        <v>#NAME?</v>
      </c>
      <c r="R20" s="47" cm="1">
        <f t="array" ref="R20">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0.25944584382871538</v>
      </c>
      <c r="S20" s="26">
        <f>+Panel_Control[[#This Row],[Trayectoria Acumulada (Avance ideal)]]*Panel_Control[[#This Row],[Ponderación relativa del Producto (%)]]</f>
        <v>7.7833753148614611E-3</v>
      </c>
    </row>
    <row r="21" spans="1:19" ht="28.8" x14ac:dyDescent="0.3">
      <c r="A21" s="16">
        <f>+'Avance Cuantitativo Productos'!A22</f>
        <v>17</v>
      </c>
      <c r="B21" s="16" t="str">
        <f>+'Avance Cuantitativo Productos'!B22</f>
        <v>2.</v>
      </c>
      <c r="C21" s="44" t="str">
        <f>+'Avance Cuantitativo Productos'!C22</f>
        <v>2.2.2.  Implementación de la etapa de talento y reserva  que contribuya al aumento de la base deportiva de Bogotá.</v>
      </c>
      <c r="D21" s="44" t="str">
        <f>+'Avance Cuantitativo Productos'!E22</f>
        <v xml:space="preserve">Cultura, Recreación y Deporte </v>
      </c>
      <c r="E21" s="45">
        <f>IF(ISNA('Avance Cuantitativo Productos'!M22)=FALSE,'Avance Cuantitativo Productos'!F22,IF($D$1&gt;YEAR('Avance Cuantitativo Productos'!J22),'Avance Cuantitativo Productos'!F22,IF($D$1&lt;YEAR('Avance Cuantitativo Productos'!J22),0,IF(AND($D$1=YEAR('Avance Cuantitativo Productos'!J22),$D$2="Q1",OR('Avance Cuantitativo Productos'!I22&lt;&gt;"Mensual",'Avance Cuantitativo Productos'!I22&lt;&gt;"Bimestral",'Avance Cuantitativo Productos'!I22&lt;&gt;"Trimestral")),0,IF(AND($D$1=YEAR('Avance Cuantitativo Productos'!J22),$D$2="Q2",OR('Avance Cuantitativo Productos'!I22&lt;&gt;"Mensual",'Avance Cuantitativo Productos'!I22&lt;&gt;"Bimestral",'Avance Cuantitativo Productos'!I22&lt;&gt;"Trimestral",'Avance Cuantitativo Productos'!I22&lt;&gt;"Semestral")),0,IF(AND($D$1=YEAR('Avance Cuantitativo Productos'!J22),$D$2="Q3",OR('Avance Cuantitativo Productos'!I22&lt;&gt;"Mensual",'Avance Cuantitativo Productos'!I22&lt;&gt;"Bimestral",'Avance Cuantitativo Productos'!I22&lt;&gt;"Trimestral",'Avance Cuantitativo Productos'!I22&lt;&gt;"Semestral")),0,IF(AND($D$1=YEAR('Avance Cuantitativo Productos'!J22),$D$2="Q4",OR('Avance Cuantitativo Productos'!I22&lt;&gt;"Mensual",'Avance Cuantitativo Productos'!I22&lt;&gt;"Bimestral",'Avance Cuantitativo Productos'!I22&lt;&gt;"Trimestral",'Avance Cuantitativo Productos'!I22&lt;&gt;"Semestral",'Avance Cuantitativo Productos'!I22&lt;&gt;"Anual")),0,'Avance Cuantitativo Productos'!F22)))))))</f>
        <v>0.04</v>
      </c>
      <c r="F21" s="46" t="e" cm="1">
        <f t="array" aca="1" ref="F21" ca="1">+IF(AND(_xlfn.NUMBERVALUE($D$1)&gt;=YEAR('Avance Cuantitativo Productos'!J22),ISERROR('Avance Cuantitativo Productos'!M22)=TRUE,(OR(AND($D$2="Q1",MONTH('Avance Cuantitativo Productos'!J22)&lt;=3,OR('Avance Cuantitativo Productos'!I22="Mensual",'Avance Cuantitativo Productos'!I22="Bimestral",'Avance Cuantitativo Productos'!I22="Trimestral")),AND($D$2="Q2",MONTH('Avance Cuantitativo Productos'!J22)&lt;=6,OR('Avance Cuantitativo Productos'!I22="Mensual",'Avance Cuantitativo Productos'!I22="Bimestral",'Avance Cuantitativo Productos'!I22="Trimestral",'Avance Cuantitativo Productos'!I22="Semestral")),AND($D$2="Q3",MONTH('Avance Cuantitativo Productos'!J22)&lt;=9,OR('Avance Cuantitativo Productos'!I22="Mensual",'Avance Cuantitativo Productos'!I22="Bimestral",'Avance Cuantitativo Productos'!I22="Trimestral",'Avance Cuantitativo Productos'!I22="Semestral")),AND($D$2="Q4",MONTH('Avance Cuantitativo Productos'!J22)&lt;=12,OR('Avance Cuantitativo Productos'!I22="Mensual",'Avance Cuantitativo Productos'!I22="Bimestral",'Avance Cuantitativo Productos'!I22="Trimestral",'Avance Cuantitativo Productos'!I22="Semestral",'Avance Cuantitativo Productos'!I22="Anual"))))),0,_xlfn.XLOOKUP($D$1,TRANSPOSE(Anios_Reporte[Año de Reporte]),_xlfn.XLOOKUP(Panel_Control[[#This Row],[Producto '#]],Info_Productos_Cuantitativo[Producto No.],Avance_en_Vigencia_Productos[])))</f>
        <v>#NAME?</v>
      </c>
      <c r="G21" s="17" t="e">
        <f ca="1">+IF(AND($D$1=YEAR('Avance Cuantitativo Productos'!J22),'Panel de Control PRODUCTOS'!$D$2="Q1",OR('Avance Cuantitativo Productos'!I22="Mensual",'Avance Cuantitativo Productos'!I22="Bimestral",'Avance Cuantitativo Productos'!I22="Trimestral"),MONTH('Avance Cuantitativo Productos'!J22)&lt;=3,SUM(OFFSET('Avance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PRODUCTOS'!$D$2="Q2",MONTH('Avance Cuantitativo Productos'!J22)&lt;=6,OR('Avance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PRODUCTOS'!$D$2="Q3",MONTH('Avance Cuantitativo Productos'!J22)&lt;=9,OR('Avance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PRODUCTOS'!$D$2="Q4",MONTH('Avance Cuantitativo Productos'!J22)&lt;=12,OR('Avance Cuantitativo Productos'!I22="Mensual",'Avance Cuantitativo Productos'!I22="Bimestral",'Avance Cuantitativo Productos'!I22="Trimestral",'Avance Cuantitativo Productos'!I22="Semestral",'Avance Cuantitativo Productos'!I22="Anual"),SUM(OFFSET('Avance Cuantitativo Productos'!N22,0,0,1,IF($D$2="Q1",_xlfn.XMATCH($D$1,'Avance Cuantitativo Productos'!$N$4:$AS$4,0),IF($D$2="Q2",_xlfn.XMATCH($D$1,'Avance Cuantitativo Productos'!$N$4:$AS$4,0)+1,IF($D$2="Q3",_xlfn.XMATCH($D$1,'Avance Cuantitativo Productos'!$N$4:$AS$4,0)+2,IF($D$2="Q4",_xlfn.XMATCH($D$1,'Avance Cuantitativo Productos'!$N$4:$AS$4,0)+3)))))))=0,"Rojo",IF(F21&gt;=0.75,"Verde",IF(AND(F21&lt;0.75,F21&gt;=0.5),"Amarillo",IF(F21&lt;0.5,"Rojo","ERROR")))))))</f>
        <v>#NAME?</v>
      </c>
      <c r="H21" s="46" t="e" cm="1">
        <f t="array" aca="1" ref="H21" ca="1">+IF(AND(_xlfn.NUMBERVALUE($D$1)&gt;=YEAR('Avance Cuantitativo Productos'!J22),ISERROR('Avance Cuantitativo Productos'!M22)=TRUE,(OR(AND($D$2="Q1",MONTH('Avance Cuantitativo Productos'!J22)&lt;=3,OR('Avance Cuantitativo Productos'!I22="Mensual",'Avance Cuantitativo Productos'!I22="Bimestral",'Avance Cuantitativo Productos'!I22="Trimestral")),AND($D$2="Q2",MONTH('Avance Cuantitativo Productos'!J22)&lt;=6,OR('Avance Cuantitativo Productos'!I22="Mensual",'Avance Cuantitativo Productos'!I22="Bimestral",'Avance Cuantitativo Productos'!I22="Trimestral",'Avance Cuantitativo Productos'!I22="Semestral")),AND($D$2="Q3",MONTH('Avance Cuantitativo Productos'!J22)&lt;=9,OR('Avance Cuantitativo Productos'!I22="Mensual",'Avance Cuantitativo Productos'!I22="Bimestral",'Avance Cuantitativo Productos'!I22="Trimestral",'Avance Cuantitativo Productos'!I22="Semestral")),AND($D$2="Q4",MONTH('Avance Cuantitativo Productos'!J22)&lt;=12,OR('Avance Cuantitativo Productos'!I22="Mensual",'Avance Cuantitativo Productos'!I22="Bimestral",'Avance Cuantitativo Productos'!I22="Trimestral",'Avance Cuantitativo Productos'!I22="Semestral",'Avance Cuantitativo Productos'!I22="Anual"))))),0,_xlfn.XLOOKUP($D$1,TRANSPOSE(Anios_Reporte[Año de Reporte]),_xlfn.XLOOKUP(Panel_Control[[#This Row],[Producto '#]],Info_Productos_Cuantitativo[Producto No.],Avance_Hasta_Vigencia_Productos[])))</f>
        <v>#NAME?</v>
      </c>
      <c r="I21" s="16" t="e">
        <f ca="1">+IF(AND($D$1=YEAR('Avance Cuantitativo Productos'!J22),'Panel de Control PRODUCTOS'!$D$2="Q1",MONTH('Avance Cuantitativo Productos'!J22)&lt;=3,OR('Avance Cuantitativo Productos'!I22="Mensual",'Avance Cuantitativo Productos'!I22="Bimestral",'Avance Cuantitativo Productos'!I22="Trimestral"),SUM(OFFSET('Avance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PRODUCTOS'!$D$2="Q2",MONTH('Avance Cuantitativo Productos'!J22)&lt;=6,OR('Avance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PRODUCTOS'!$D$2="Q3",MONTH('Avance Cuantitativo Productos'!J22)&lt;=9,OR('Avance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PRODUCTOS'!$D$2="Q4",MONTH('Avance Cuantitativo Productos'!J22)&lt;=12,OR('Avance Cuantitativo Productos'!I22="Mensual",'Avance Cuantitativo Productos'!I22="Bimestral",'Avance Cuantitativo Productos'!I22="Trimestral",'Avance Cuantitativo Productos'!I22="Semestral",'Avance Cuantitativo Productos'!I22="Anual"),SUM(OFFSET('Avance Cuantitativo Productos'!N22,0,0,1,IF($D$2="Q1",_xlfn.XMATCH($D$1,'Avance Cuantitativo Productos'!$N$4:$AS$4,0),IF($D$2="Q2",_xlfn.XMATCH($D$1,'Avance Cuantitativo Productos'!$N$4:$AS$4,0)+1,IF($D$2="Q3",_xlfn.XMATCH($D$1,'Avance Cuantitativo Productos'!$N$4:$AS$4,0)+2,IF($D$2="Q4",_xlfn.XMATCH($D$1,'Avance Cuantitativo Productos'!$N$4:$AS$4,0)+3))))))=0),"Rojo",IF(AND(YEAR('Avance Cuantitativo Productos'!J22)&lt;$D$1,ISERROR('Avance Cuantitativo Productos'!M22)=TRUE),"Rojo",IF(AND(YEAR('Avance Cuantitativo Productos'!J22)&gt;$D$1,ISERROR('Avance Cuantitativo Productos'!M22)=TRUE),"Verde",IF(H21&gt;=0.75,"Verde",IF(AND(H21&lt;0.75,H21&gt;=0.5),"Amarillo",IF(H21&lt;0.5,"Rojo")))))))))</f>
        <v>#NAME?</v>
      </c>
      <c r="J21" s="46" t="e" cm="1">
        <f t="array" aca="1" ref="J21" ca="1">+IF(AND(_xlfn.NUMBERVALUE($D$1)&gt;=YEAR('Avance Cuantitativo Productos'!J22),ISERROR('Avance Cuantitativo Productos'!M22)=TRUE,(OR(AND($D$2="Q1",MONTH('Avance Cuantitativo Productos'!J22)&lt;=3,OR('Avance Cuantitativo Productos'!I22="Mensual",'Avance Cuantitativo Productos'!I22="Bimestral",'Avance Cuantitativo Productos'!I22="Trimestral")),AND($D$2="Q2",MONTH('Avance Cuantitativo Productos'!J22)&lt;=6,OR('Avance Cuantitativo Productos'!I22="Mensual",'Avance Cuantitativo Productos'!I22="Bimestral",'Avance Cuantitativo Productos'!I22="Trimestral",'Avance Cuantitativo Productos'!I22="Semestral")),AND($D$2="Q3",MONTH('Avance Cuantitativo Productos'!J22)&lt;=9,OR('Avance Cuantitativo Productos'!I22="Mensual",'Avance Cuantitativo Productos'!I22="Bimestral",'Avance Cuantitativo Productos'!I22="Trimestral",'Avance Cuantitativo Productos'!I22="Semestral")),AND($D$2="Q4",MONTH('Avance Cuantitativo Productos'!J22)&lt;=12,OR('Avance Cuantitativo Productos'!I22="Mensual",'Avance Cuantitativo Productos'!I22="Bimestral",'Avance Cuantitativo Productos'!I22="Trimestral",'Avance Cuantitativo Productos'!I22="Semestral",'Avance Cuantitativo Productos'!I22="Anual"))))),0,_xlfn.XLOOKUP($D$1,TRANSPOSE(Anios_Reporte[Año de Reporte]),_xlfn.XLOOKUP(Panel_Control[[#This Row],[Producto '#]],Info_Productos_Cuantitativo[Producto No.],Avance_Acumulado_Productos[])))</f>
        <v>#NAME?</v>
      </c>
      <c r="K21" s="17" t="e">
        <f ca="1">+IF(AND($D$1=YEAR('Avance Cuantitativo Productos'!J22),'Panel de Control PRODUCTOS'!$D$2="Q1",MONTH('Avance Cuantitativo Productos'!J22)&lt;=3,OR('Avance Cuantitativo Productos'!I22="Mensual",'Avance Cuantitativo Productos'!I22="Bimestral",'Avance Cuantitativo Productos'!I22="Trimestral"),SUM(OFFSET('Avance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PRODUCTOS'!$D$2="Q2",MONTH('Avance Cuantitativo Productos'!J22)&lt;=6,OR('Avance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PRODUCTOS'!$D$2="Q3",MONTH('Avance Cuantitativo Productos'!J22)&lt;=9,OR('Avance Cuantitativo Productos'!I22="Mensual",'Avance Cuantitativo Productos'!I22="Bimestral",'Avance Cuantitativo Productos'!I22="Trimestral",'Avance Cuantitativo Productos'!I22="Semestral"),SUM(OFFSET('Avance Cuantitativo Productos'!N22,0,0,1,IF($D$2="Q1",_xlfn.XMATCH($D$1,'Avance Cuantitativo Productos'!$N$4:$AS$4,0),IF($D$2="Q2",_xlfn.XMATCH($D$1,'Avance Cuantitativo Productos'!$N$4:$AS$4,0)+1,IF($D$2="Q3",_xlfn.XMATCH($D$1,'Avance Cuantitativo Productos'!$N$4:$AS$4,0)+2,IF($D$2="Q4",_xlfn.XMATCH($D$1,'Avance Cuantitativo Productos'!$N$4:$AS$4,0)+3))))))=0),"Rojo",IF(AND($D$1=YEAR('Avance Cuantitativo Productos'!J22),'Panel de Control PRODUCTOS'!$D$2="Q4",MONTH('Avance Cuantitativo Productos'!J22)&lt;=12,OR('Avance Cuantitativo Productos'!I22="Mensual",'Avance Cuantitativo Productos'!I22="Bimestral",'Avance Cuantitativo Productos'!I22="Trimestral",'Avance Cuantitativo Productos'!I22="Semestral",'Avance Cuantitativo Productos'!I22="Anual"),SUM(OFFSET('Avance Cuantitativo Productos'!N22,0,0,1,IF($D$2="Q1",_xlfn.XMATCH($D$1,'Avance Cuantitativo Productos'!$N$4:$AS$4,0),IF($D$2="Q2",_xlfn.XMATCH($D$1,'Avance Cuantitativo Productos'!$N$4:$AS$4,0)+1,IF($D$2="Q3",_xlfn.XMATCH($D$1,'Avance Cuantitativo Productos'!$N$4:$AS$4,0)+2,IF($D$2="Q4",_xlfn.XMATCH($D$1,'Avance Cuantitativo Productos'!$N$4:$AS$4,0)+3))))))=0),"Rojo",IF(AND(YEAR('Avance Cuantitativo Productos'!J22)&lt;$D$1,ISERROR('Avance Cuantitativo Productos'!M22)=TRUE),"Rojo",IF(AND(YEAR('Avance Cuantitativo Productos'!J22)&gt;$D$1,ISERROR('Avance Cuantitativo Productos'!M22)=TRUE),"Verde",IF(J21&gt;=0.75,"Verde",IF(AND(J21&lt;0.75,J21&gt;=0.5),"Amarillo",IF(J21&lt;0.5,"Rojo")))))))))</f>
        <v>#NAME?</v>
      </c>
      <c r="L21" s="46" t="e">
        <f t="shared" ca="1" si="0"/>
        <v>#NAME?</v>
      </c>
      <c r="M21" s="26" t="e">
        <f ca="1">+IF(Panel_Control[[#This Row],[PAV. Ajustado (100%)]]="","",Panel_Control[[#This Row],[PAV. Ajustado (100%)]]*Panel_Control[[#This Row],[Ponderación relativa del Producto (%)]])</f>
        <v>#NAME?</v>
      </c>
      <c r="N21" s="46" t="e">
        <f t="shared" ca="1" si="1"/>
        <v>#NAME?</v>
      </c>
      <c r="O21" s="26" t="e">
        <f ca="1">+IF(Panel_Control[[#This Row],[Porcentaje de Avance Hasta la Vigencia (100%)]]="","",Panel_Control[[#This Row],[Porcentaje de Avance Hasta la Vigencia (100%)]]*Panel_Control[[#This Row],[Ponderación relativa del Producto (%)]])</f>
        <v>#NAME?</v>
      </c>
      <c r="P21" s="46" t="e">
        <f t="shared" ca="1" si="2"/>
        <v>#NAME?</v>
      </c>
      <c r="Q21" s="26" t="e">
        <f ca="1">+IF(Panel_Control[[#This Row],[PAA. (100%)]]="","",Panel_Control[[#This Row],[PAA. (100%)]]*Panel_Control[[#This Row],[Ponderación relativa del Producto (%)]])</f>
        <v>#NAME?</v>
      </c>
      <c r="R21" s="47" cm="1">
        <f t="array" ref="R21">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0.26811594202898553</v>
      </c>
      <c r="S21" s="26">
        <f>+Panel_Control[[#This Row],[Trayectoria Acumulada (Avance ideal)]]*Panel_Control[[#This Row],[Ponderación relativa del Producto (%)]]</f>
        <v>1.0724637681159421E-2</v>
      </c>
    </row>
    <row r="22" spans="1:19" ht="57.6" x14ac:dyDescent="0.3">
      <c r="A22" s="16">
        <f>+'Avance Cuantitativo Productos'!A23</f>
        <v>18</v>
      </c>
      <c r="B22" s="16" t="str">
        <f>+'Avance Cuantitativo Productos'!B23</f>
        <v>2.</v>
      </c>
      <c r="C22" s="44" t="str">
        <f>+'Avance Cuantitativo Productos'!C23</f>
        <v xml:space="preserve">2.2.3. Articulaciones con el sector académico que permitan el intercambio de conocimientos y el desarrollo conjunto de procesos de formación y gestión del conocimiento en torno a la Actividad Física, la Recreación y el Deporte. </v>
      </c>
      <c r="D22" s="44" t="str">
        <f>+'Avance Cuantitativo Productos'!E23</f>
        <v xml:space="preserve">Cultura, Recreación y Deporte </v>
      </c>
      <c r="E22" s="45">
        <f>IF(ISNA('Avance Cuantitativo Productos'!M23)=FALSE,'Avance Cuantitativo Productos'!F23,IF($D$1&gt;YEAR('Avance Cuantitativo Productos'!J23),'Avance Cuantitativo Productos'!F23,IF($D$1&lt;YEAR('Avance Cuantitativo Productos'!J23),0,IF(AND($D$1=YEAR('Avance Cuantitativo Productos'!J23),$D$2="Q1",OR('Avance Cuantitativo Productos'!I23&lt;&gt;"Mensual",'Avance Cuantitativo Productos'!I23&lt;&gt;"Bimestral",'Avance Cuantitativo Productos'!I23&lt;&gt;"Trimestral")),0,IF(AND($D$1=YEAR('Avance Cuantitativo Productos'!J23),$D$2="Q2",OR('Avance Cuantitativo Productos'!I23&lt;&gt;"Mensual",'Avance Cuantitativo Productos'!I23&lt;&gt;"Bimestral",'Avance Cuantitativo Productos'!I23&lt;&gt;"Trimestral",'Avance Cuantitativo Productos'!I23&lt;&gt;"Semestral")),0,IF(AND($D$1=YEAR('Avance Cuantitativo Productos'!J23),$D$2="Q3",OR('Avance Cuantitativo Productos'!I23&lt;&gt;"Mensual",'Avance Cuantitativo Productos'!I23&lt;&gt;"Bimestral",'Avance Cuantitativo Productos'!I23&lt;&gt;"Trimestral",'Avance Cuantitativo Productos'!I23&lt;&gt;"Semestral")),0,IF(AND($D$1=YEAR('Avance Cuantitativo Productos'!J23),$D$2="Q4",OR('Avance Cuantitativo Productos'!I23&lt;&gt;"Mensual",'Avance Cuantitativo Productos'!I23&lt;&gt;"Bimestral",'Avance Cuantitativo Productos'!I23&lt;&gt;"Trimestral",'Avance Cuantitativo Productos'!I23&lt;&gt;"Semestral",'Avance Cuantitativo Productos'!I23&lt;&gt;"Anual")),0,'Avance Cuantitativo Productos'!F23)))))))</f>
        <v>0.03</v>
      </c>
      <c r="F22" s="46" t="e" cm="1">
        <f t="array" aca="1" ref="F22" ca="1">+IF(AND(_xlfn.NUMBERVALUE($D$1)&gt;=YEAR('Avance Cuantitativo Productos'!J23),ISERROR('Avance Cuantitativo Productos'!M23)=TRUE,(OR(AND($D$2="Q1",MONTH('Avance Cuantitativo Productos'!J23)&lt;=3,OR('Avance Cuantitativo Productos'!I23="Mensual",'Avance Cuantitativo Productos'!I23="Bimestral",'Avance Cuantitativo Productos'!I23="Trimestral")),AND($D$2="Q2",MONTH('Avance Cuantitativo Productos'!J23)&lt;=6,OR('Avance Cuantitativo Productos'!I23="Mensual",'Avance Cuantitativo Productos'!I23="Bimestral",'Avance Cuantitativo Productos'!I23="Trimestral",'Avance Cuantitativo Productos'!I23="Semestral")),AND($D$2="Q3",MONTH('Avance Cuantitativo Productos'!J23)&lt;=9,OR('Avance Cuantitativo Productos'!I23="Mensual",'Avance Cuantitativo Productos'!I23="Bimestral",'Avance Cuantitativo Productos'!I23="Trimestral",'Avance Cuantitativo Productos'!I23="Semestral")),AND($D$2="Q4",MONTH('Avance Cuantitativo Productos'!J23)&lt;=12,OR('Avance Cuantitativo Productos'!I23="Mensual",'Avance Cuantitativo Productos'!I23="Bimestral",'Avance Cuantitativo Productos'!I23="Trimestral",'Avance Cuantitativo Productos'!I23="Semestral",'Avance Cuantitativo Productos'!I23="Anual"))))),0,_xlfn.XLOOKUP($D$1,TRANSPOSE(Anios_Reporte[Año de Reporte]),_xlfn.XLOOKUP(Panel_Control[[#This Row],[Producto '#]],Info_Productos_Cuantitativo[Producto No.],Avance_en_Vigencia_Productos[])))</f>
        <v>#NAME?</v>
      </c>
      <c r="G22" s="17" t="e">
        <f ca="1">+IF(AND($D$1=YEAR('Avance Cuantitativo Productos'!J23),'Panel de Control PRODUCTOS'!$D$2="Q1",OR('Avance Cuantitativo Productos'!I23="Mensual",'Avance Cuantitativo Productos'!I23="Bimestral",'Avance Cuantitativo Productos'!I23="Trimestral"),MONTH('Avance Cuantitativo Productos'!J23)&lt;=3,SUM(OFFSET('Avance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PRODUCTOS'!$D$2="Q2",MONTH('Avance Cuantitativo Productos'!J23)&lt;=6,OR('Avance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PRODUCTOS'!$D$2="Q3",MONTH('Avance Cuantitativo Productos'!J23)&lt;=9,OR('Avance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PRODUCTOS'!$D$2="Q4",MONTH('Avance Cuantitativo Productos'!J23)&lt;=12,OR('Avance Cuantitativo Productos'!I23="Mensual",'Avance Cuantitativo Productos'!I23="Bimestral",'Avance Cuantitativo Productos'!I23="Trimestral",'Avance Cuantitativo Productos'!I23="Semestral",'Avance Cuantitativo Productos'!I23="Anual"),SUM(OFFSET('Avance Cuantitativo Productos'!N23,0,0,1,IF($D$2="Q1",_xlfn.XMATCH($D$1,'Avance Cuantitativo Productos'!$N$4:$AS$4,0),IF($D$2="Q2",_xlfn.XMATCH($D$1,'Avance Cuantitativo Productos'!$N$4:$AS$4,0)+1,IF($D$2="Q3",_xlfn.XMATCH($D$1,'Avance Cuantitativo Productos'!$N$4:$AS$4,0)+2,IF($D$2="Q4",_xlfn.XMATCH($D$1,'Avance Cuantitativo Productos'!$N$4:$AS$4,0)+3)))))))=0,"Rojo",IF(F22&gt;=0.75,"Verde",IF(AND(F22&lt;0.75,F22&gt;=0.5),"Amarillo",IF(F22&lt;0.5,"Rojo","ERROR")))))))</f>
        <v>#NAME?</v>
      </c>
      <c r="H22" s="46" t="e" cm="1">
        <f t="array" aca="1" ref="H22" ca="1">+IF(AND(_xlfn.NUMBERVALUE($D$1)&gt;=YEAR('Avance Cuantitativo Productos'!J23),ISERROR('Avance Cuantitativo Productos'!M23)=TRUE,(OR(AND($D$2="Q1",MONTH('Avance Cuantitativo Productos'!J23)&lt;=3,OR('Avance Cuantitativo Productos'!I23="Mensual",'Avance Cuantitativo Productos'!I23="Bimestral",'Avance Cuantitativo Productos'!I23="Trimestral")),AND($D$2="Q2",MONTH('Avance Cuantitativo Productos'!J23)&lt;=6,OR('Avance Cuantitativo Productos'!I23="Mensual",'Avance Cuantitativo Productos'!I23="Bimestral",'Avance Cuantitativo Productos'!I23="Trimestral",'Avance Cuantitativo Productos'!I23="Semestral")),AND($D$2="Q3",MONTH('Avance Cuantitativo Productos'!J23)&lt;=9,OR('Avance Cuantitativo Productos'!I23="Mensual",'Avance Cuantitativo Productos'!I23="Bimestral",'Avance Cuantitativo Productos'!I23="Trimestral",'Avance Cuantitativo Productos'!I23="Semestral")),AND($D$2="Q4",MONTH('Avance Cuantitativo Productos'!J23)&lt;=12,OR('Avance Cuantitativo Productos'!I23="Mensual",'Avance Cuantitativo Productos'!I23="Bimestral",'Avance Cuantitativo Productos'!I23="Trimestral",'Avance Cuantitativo Productos'!I23="Semestral",'Avance Cuantitativo Productos'!I23="Anual"))))),0,_xlfn.XLOOKUP($D$1,TRANSPOSE(Anios_Reporte[Año de Reporte]),_xlfn.XLOOKUP(Panel_Control[[#This Row],[Producto '#]],Info_Productos_Cuantitativo[Producto No.],Avance_Hasta_Vigencia_Productos[])))</f>
        <v>#NAME?</v>
      </c>
      <c r="I22" s="16" t="e">
        <f ca="1">+IF(AND($D$1=YEAR('Avance Cuantitativo Productos'!J23),'Panel de Control PRODUCTOS'!$D$2="Q1",MONTH('Avance Cuantitativo Productos'!J23)&lt;=3,OR('Avance Cuantitativo Productos'!I23="Mensual",'Avance Cuantitativo Productos'!I23="Bimestral",'Avance Cuantitativo Productos'!I23="Trimestral"),SUM(OFFSET('Avance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PRODUCTOS'!$D$2="Q2",MONTH('Avance Cuantitativo Productos'!J23)&lt;=6,OR('Avance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PRODUCTOS'!$D$2="Q3",MONTH('Avance Cuantitativo Productos'!J23)&lt;=9,OR('Avance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PRODUCTOS'!$D$2="Q4",MONTH('Avance Cuantitativo Productos'!J23)&lt;=12,OR('Avance Cuantitativo Productos'!I23="Mensual",'Avance Cuantitativo Productos'!I23="Bimestral",'Avance Cuantitativo Productos'!I23="Trimestral",'Avance Cuantitativo Productos'!I23="Semestral",'Avance Cuantitativo Productos'!I23="Anual"),SUM(OFFSET('Avance Cuantitativo Productos'!N23,0,0,1,IF($D$2="Q1",_xlfn.XMATCH($D$1,'Avance Cuantitativo Productos'!$N$4:$AS$4,0),IF($D$2="Q2",_xlfn.XMATCH($D$1,'Avance Cuantitativo Productos'!$N$4:$AS$4,0)+1,IF($D$2="Q3",_xlfn.XMATCH($D$1,'Avance Cuantitativo Productos'!$N$4:$AS$4,0)+2,IF($D$2="Q4",_xlfn.XMATCH($D$1,'Avance Cuantitativo Productos'!$N$4:$AS$4,0)+3))))))=0),"Rojo",IF(AND(YEAR('Avance Cuantitativo Productos'!J23)&lt;$D$1,ISERROR('Avance Cuantitativo Productos'!M23)=TRUE),"Rojo",IF(AND(YEAR('Avance Cuantitativo Productos'!J23)&gt;$D$1,ISERROR('Avance Cuantitativo Productos'!M23)=TRUE),"Verde",IF(H22&gt;=0.75,"Verde",IF(AND(H22&lt;0.75,H22&gt;=0.5),"Amarillo",IF(H22&lt;0.5,"Rojo")))))))))</f>
        <v>#NAME?</v>
      </c>
      <c r="J22" s="46" t="e" cm="1">
        <f t="array" aca="1" ref="J22" ca="1">+IF(AND(_xlfn.NUMBERVALUE($D$1)&gt;=YEAR('Avance Cuantitativo Productos'!J23),ISERROR('Avance Cuantitativo Productos'!M23)=TRUE,(OR(AND($D$2="Q1",MONTH('Avance Cuantitativo Productos'!J23)&lt;=3,OR('Avance Cuantitativo Productos'!I23="Mensual",'Avance Cuantitativo Productos'!I23="Bimestral",'Avance Cuantitativo Productos'!I23="Trimestral")),AND($D$2="Q2",MONTH('Avance Cuantitativo Productos'!J23)&lt;=6,OR('Avance Cuantitativo Productos'!I23="Mensual",'Avance Cuantitativo Productos'!I23="Bimestral",'Avance Cuantitativo Productos'!I23="Trimestral",'Avance Cuantitativo Productos'!I23="Semestral")),AND($D$2="Q3",MONTH('Avance Cuantitativo Productos'!J23)&lt;=9,OR('Avance Cuantitativo Productos'!I23="Mensual",'Avance Cuantitativo Productos'!I23="Bimestral",'Avance Cuantitativo Productos'!I23="Trimestral",'Avance Cuantitativo Productos'!I23="Semestral")),AND($D$2="Q4",MONTH('Avance Cuantitativo Productos'!J23)&lt;=12,OR('Avance Cuantitativo Productos'!I23="Mensual",'Avance Cuantitativo Productos'!I23="Bimestral",'Avance Cuantitativo Productos'!I23="Trimestral",'Avance Cuantitativo Productos'!I23="Semestral",'Avance Cuantitativo Productos'!I23="Anual"))))),0,_xlfn.XLOOKUP($D$1,TRANSPOSE(Anios_Reporte[Año de Reporte]),_xlfn.XLOOKUP(Panel_Control[[#This Row],[Producto '#]],Info_Productos_Cuantitativo[Producto No.],Avance_Acumulado_Productos[])))</f>
        <v>#NAME?</v>
      </c>
      <c r="K22" s="17" t="e">
        <f ca="1">+IF(AND($D$1=YEAR('Avance Cuantitativo Productos'!J23),'Panel de Control PRODUCTOS'!$D$2="Q1",MONTH('Avance Cuantitativo Productos'!J23)&lt;=3,OR('Avance Cuantitativo Productos'!I23="Mensual",'Avance Cuantitativo Productos'!I23="Bimestral",'Avance Cuantitativo Productos'!I23="Trimestral"),SUM(OFFSET('Avance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PRODUCTOS'!$D$2="Q2",MONTH('Avance Cuantitativo Productos'!J23)&lt;=6,OR('Avance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PRODUCTOS'!$D$2="Q3",MONTH('Avance Cuantitativo Productos'!J23)&lt;=9,OR('Avance Cuantitativo Productos'!I23="Mensual",'Avance Cuantitativo Productos'!I23="Bimestral",'Avance Cuantitativo Productos'!I23="Trimestral",'Avance Cuantitativo Productos'!I23="Semestral"),SUM(OFFSET('Avance Cuantitativo Productos'!N23,0,0,1,IF($D$2="Q1",_xlfn.XMATCH($D$1,'Avance Cuantitativo Productos'!$N$4:$AS$4,0),IF($D$2="Q2",_xlfn.XMATCH($D$1,'Avance Cuantitativo Productos'!$N$4:$AS$4,0)+1,IF($D$2="Q3",_xlfn.XMATCH($D$1,'Avance Cuantitativo Productos'!$N$4:$AS$4,0)+2,IF($D$2="Q4",_xlfn.XMATCH($D$1,'Avance Cuantitativo Productos'!$N$4:$AS$4,0)+3))))))=0),"Rojo",IF(AND($D$1=YEAR('Avance Cuantitativo Productos'!J23),'Panel de Control PRODUCTOS'!$D$2="Q4",MONTH('Avance Cuantitativo Productos'!J23)&lt;=12,OR('Avance Cuantitativo Productos'!I23="Mensual",'Avance Cuantitativo Productos'!I23="Bimestral",'Avance Cuantitativo Productos'!I23="Trimestral",'Avance Cuantitativo Productos'!I23="Semestral",'Avance Cuantitativo Productos'!I23="Anual"),SUM(OFFSET('Avance Cuantitativo Productos'!N23,0,0,1,IF($D$2="Q1",_xlfn.XMATCH($D$1,'Avance Cuantitativo Productos'!$N$4:$AS$4,0),IF($D$2="Q2",_xlfn.XMATCH($D$1,'Avance Cuantitativo Productos'!$N$4:$AS$4,0)+1,IF($D$2="Q3",_xlfn.XMATCH($D$1,'Avance Cuantitativo Productos'!$N$4:$AS$4,0)+2,IF($D$2="Q4",_xlfn.XMATCH($D$1,'Avance Cuantitativo Productos'!$N$4:$AS$4,0)+3))))))=0),"Rojo",IF(AND(YEAR('Avance Cuantitativo Productos'!J23)&lt;$D$1,ISERROR('Avance Cuantitativo Productos'!M23)=TRUE),"Rojo",IF(AND(YEAR('Avance Cuantitativo Productos'!J23)&gt;$D$1,ISERROR('Avance Cuantitativo Productos'!M23)=TRUE),"Verde",IF(J22&gt;=0.75,"Verde",IF(AND(J22&lt;0.75,J22&gt;=0.5),"Amarillo",IF(J22&lt;0.5,"Rojo")))))))))</f>
        <v>#NAME?</v>
      </c>
      <c r="L22" s="46" t="e">
        <f t="shared" ca="1" si="0"/>
        <v>#NAME?</v>
      </c>
      <c r="M22" s="26" t="e">
        <f ca="1">+IF(Panel_Control[[#This Row],[PAV. Ajustado (100%)]]="","",Panel_Control[[#This Row],[PAV. Ajustado (100%)]]*Panel_Control[[#This Row],[Ponderación relativa del Producto (%)]])</f>
        <v>#NAME?</v>
      </c>
      <c r="N22" s="46" t="e">
        <f t="shared" ca="1" si="1"/>
        <v>#NAME?</v>
      </c>
      <c r="O22" s="26" t="e">
        <f ca="1">+IF(Panel_Control[[#This Row],[Porcentaje de Avance Hasta la Vigencia (100%)]]="","",Panel_Control[[#This Row],[Porcentaje de Avance Hasta la Vigencia (100%)]]*Panel_Control[[#This Row],[Ponderación relativa del Producto (%)]])</f>
        <v>#NAME?</v>
      </c>
      <c r="P22" s="46" t="e">
        <f t="shared" ca="1" si="2"/>
        <v>#NAME?</v>
      </c>
      <c r="Q22" s="26" t="e">
        <f ca="1">+IF(Panel_Control[[#This Row],[PAA. (100%)]]="","",Panel_Control[[#This Row],[PAA. (100%)]]*Panel_Control[[#This Row],[Ponderación relativa del Producto (%)]])</f>
        <v>#NAME?</v>
      </c>
      <c r="R22" s="47" cm="1">
        <f t="array" ref="R22">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0.25862068965517243</v>
      </c>
      <c r="S22" s="26">
        <f>+Panel_Control[[#This Row],[Trayectoria Acumulada (Avance ideal)]]*Panel_Control[[#This Row],[Ponderación relativa del Producto (%)]]</f>
        <v>7.7586206896551723E-3</v>
      </c>
    </row>
    <row r="23" spans="1:19" ht="43.2" x14ac:dyDescent="0.3">
      <c r="A23" s="16">
        <f>+'Avance Cuantitativo Productos'!A24</f>
        <v>19</v>
      </c>
      <c r="B23" s="16" t="str">
        <f>+'Avance Cuantitativo Productos'!B24</f>
        <v>3.</v>
      </c>
      <c r="C23" s="44" t="str">
        <f>+'Avance Cuantitativo Productos'!C24</f>
        <v>3.1.1. Investigaciones asociadas a la práctica deportiva cuyos resultados aporten a la formación integral de niños, niñas, adolescentes y jóvenes</v>
      </c>
      <c r="D23" s="44" t="str">
        <f>+'Avance Cuantitativo Productos'!E24</f>
        <v xml:space="preserve">Cultura, Recreación y Deporte </v>
      </c>
      <c r="E23" s="45">
        <f>IF(ISNA('Avance Cuantitativo Productos'!M24)=FALSE,'Avance Cuantitativo Productos'!F24,IF($D$1&gt;YEAR('Avance Cuantitativo Productos'!J24),'Avance Cuantitativo Productos'!F24,IF($D$1&lt;YEAR('Avance Cuantitativo Productos'!J24),0,IF(AND($D$1=YEAR('Avance Cuantitativo Productos'!J24),$D$2="Q1",OR('Avance Cuantitativo Productos'!I24&lt;&gt;"Mensual",'Avance Cuantitativo Productos'!I24&lt;&gt;"Bimestral",'Avance Cuantitativo Productos'!I24&lt;&gt;"Trimestral")),0,IF(AND($D$1=YEAR('Avance Cuantitativo Productos'!J24),$D$2="Q2",OR('Avance Cuantitativo Productos'!I24&lt;&gt;"Mensual",'Avance Cuantitativo Productos'!I24&lt;&gt;"Bimestral",'Avance Cuantitativo Productos'!I24&lt;&gt;"Trimestral",'Avance Cuantitativo Productos'!I24&lt;&gt;"Semestral")),0,IF(AND($D$1=YEAR('Avance Cuantitativo Productos'!J24),$D$2="Q3",OR('Avance Cuantitativo Productos'!I24&lt;&gt;"Mensual",'Avance Cuantitativo Productos'!I24&lt;&gt;"Bimestral",'Avance Cuantitativo Productos'!I24&lt;&gt;"Trimestral",'Avance Cuantitativo Productos'!I24&lt;&gt;"Semestral")),0,IF(AND($D$1=YEAR('Avance Cuantitativo Productos'!J24),$D$2="Q4",OR('Avance Cuantitativo Productos'!I24&lt;&gt;"Mensual",'Avance Cuantitativo Productos'!I24&lt;&gt;"Bimestral",'Avance Cuantitativo Productos'!I24&lt;&gt;"Trimestral",'Avance Cuantitativo Productos'!I24&lt;&gt;"Semestral",'Avance Cuantitativo Productos'!I24&lt;&gt;"Anual")),0,'Avance Cuantitativo Productos'!F24)))))))</f>
        <v>0.05</v>
      </c>
      <c r="F23" s="46" t="e" cm="1">
        <f t="array" aca="1" ref="F23" ca="1">+IF(AND(_xlfn.NUMBERVALUE($D$1)&gt;=YEAR('Avance Cuantitativo Productos'!J24),ISERROR('Avance Cuantitativo Productos'!M24)=TRUE,(OR(AND($D$2="Q1",MONTH('Avance Cuantitativo Productos'!J24)&lt;=3,OR('Avance Cuantitativo Productos'!I24="Mensual",'Avance Cuantitativo Productos'!I24="Bimestral",'Avance Cuantitativo Productos'!I24="Trimestral")),AND($D$2="Q2",MONTH('Avance Cuantitativo Productos'!J24)&lt;=6,OR('Avance Cuantitativo Productos'!I24="Mensual",'Avance Cuantitativo Productos'!I24="Bimestral",'Avance Cuantitativo Productos'!I24="Trimestral",'Avance Cuantitativo Productos'!I24="Semestral")),AND($D$2="Q3",MONTH('Avance Cuantitativo Productos'!J24)&lt;=9,OR('Avance Cuantitativo Productos'!I24="Mensual",'Avance Cuantitativo Productos'!I24="Bimestral",'Avance Cuantitativo Productos'!I24="Trimestral",'Avance Cuantitativo Productos'!I24="Semestral")),AND($D$2="Q4",MONTH('Avance Cuantitativo Productos'!J24)&lt;=12,OR('Avance Cuantitativo Productos'!I24="Mensual",'Avance Cuantitativo Productos'!I24="Bimestral",'Avance Cuantitativo Productos'!I24="Trimestral",'Avance Cuantitativo Productos'!I24="Semestral",'Avance Cuantitativo Productos'!I24="Anual"))))),0,_xlfn.XLOOKUP($D$1,TRANSPOSE(Anios_Reporte[Año de Reporte]),_xlfn.XLOOKUP(Panel_Control[[#This Row],[Producto '#]],Info_Productos_Cuantitativo[Producto No.],Avance_en_Vigencia_Productos[])))</f>
        <v>#NAME?</v>
      </c>
      <c r="G23" s="17" t="e">
        <f ca="1">+IF(AND($D$1=YEAR('Avance Cuantitativo Productos'!J24),'Panel de Control PRODUCTOS'!$D$2="Q1",OR('Avance Cuantitativo Productos'!I24="Mensual",'Avance Cuantitativo Productos'!I24="Bimestral",'Avance Cuantitativo Productos'!I24="Trimestral"),MONTH('Avance Cuantitativo Productos'!J24)&lt;=3,SUM(OFFSET('Avance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PRODUCTOS'!$D$2="Q2",MONTH('Avance Cuantitativo Productos'!J24)&lt;=6,OR('Avance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PRODUCTOS'!$D$2="Q3",MONTH('Avance Cuantitativo Productos'!J24)&lt;=9,OR('Avance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PRODUCTOS'!$D$2="Q4",MONTH('Avance Cuantitativo Productos'!J24)&lt;=12,OR('Avance Cuantitativo Productos'!I24="Mensual",'Avance Cuantitativo Productos'!I24="Bimestral",'Avance Cuantitativo Productos'!I24="Trimestral",'Avance Cuantitativo Productos'!I24="Semestral",'Avance Cuantitativo Productos'!I24="Anual"),SUM(OFFSET('Avance Cuantitativo Productos'!N24,0,0,1,IF($D$2="Q1",_xlfn.XMATCH($D$1,'Avance Cuantitativo Productos'!$N$4:$AS$4,0),IF($D$2="Q2",_xlfn.XMATCH($D$1,'Avance Cuantitativo Productos'!$N$4:$AS$4,0)+1,IF($D$2="Q3",_xlfn.XMATCH($D$1,'Avance Cuantitativo Productos'!$N$4:$AS$4,0)+2,IF($D$2="Q4",_xlfn.XMATCH($D$1,'Avance Cuantitativo Productos'!$N$4:$AS$4,0)+3)))))))=0,"Rojo",IF(F23&gt;=0.75,"Verde",IF(AND(F23&lt;0.75,F23&gt;=0.5),"Amarillo",IF(F23&lt;0.5,"Rojo","ERROR")))))))</f>
        <v>#NAME?</v>
      </c>
      <c r="H23" s="46" t="e" cm="1">
        <f t="array" aca="1" ref="H23" ca="1">+IF(AND(_xlfn.NUMBERVALUE($D$1)&gt;=YEAR('Avance Cuantitativo Productos'!J24),ISERROR('Avance Cuantitativo Productos'!M24)=TRUE,(OR(AND($D$2="Q1",MONTH('Avance Cuantitativo Productos'!J24)&lt;=3,OR('Avance Cuantitativo Productos'!I24="Mensual",'Avance Cuantitativo Productos'!I24="Bimestral",'Avance Cuantitativo Productos'!I24="Trimestral")),AND($D$2="Q2",MONTH('Avance Cuantitativo Productos'!J24)&lt;=6,OR('Avance Cuantitativo Productos'!I24="Mensual",'Avance Cuantitativo Productos'!I24="Bimestral",'Avance Cuantitativo Productos'!I24="Trimestral",'Avance Cuantitativo Productos'!I24="Semestral")),AND($D$2="Q3",MONTH('Avance Cuantitativo Productos'!J24)&lt;=9,OR('Avance Cuantitativo Productos'!I24="Mensual",'Avance Cuantitativo Productos'!I24="Bimestral",'Avance Cuantitativo Productos'!I24="Trimestral",'Avance Cuantitativo Productos'!I24="Semestral")),AND($D$2="Q4",MONTH('Avance Cuantitativo Productos'!J24)&lt;=12,OR('Avance Cuantitativo Productos'!I24="Mensual",'Avance Cuantitativo Productos'!I24="Bimestral",'Avance Cuantitativo Productos'!I24="Trimestral",'Avance Cuantitativo Productos'!I24="Semestral",'Avance Cuantitativo Productos'!I24="Anual"))))),0,_xlfn.XLOOKUP($D$1,TRANSPOSE(Anios_Reporte[Año de Reporte]),_xlfn.XLOOKUP(Panel_Control[[#This Row],[Producto '#]],Info_Productos_Cuantitativo[Producto No.],Avance_Hasta_Vigencia_Productos[])))</f>
        <v>#NAME?</v>
      </c>
      <c r="I23" s="16" t="e">
        <f ca="1">+IF(AND($D$1=YEAR('Avance Cuantitativo Productos'!J24),'Panel de Control PRODUCTOS'!$D$2="Q1",MONTH('Avance Cuantitativo Productos'!J24)&lt;=3,OR('Avance Cuantitativo Productos'!I24="Mensual",'Avance Cuantitativo Productos'!I24="Bimestral",'Avance Cuantitativo Productos'!I24="Trimestral"),SUM(OFFSET('Avance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PRODUCTOS'!$D$2="Q2",MONTH('Avance Cuantitativo Productos'!J24)&lt;=6,OR('Avance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PRODUCTOS'!$D$2="Q3",MONTH('Avance Cuantitativo Productos'!J24)&lt;=9,OR('Avance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PRODUCTOS'!$D$2="Q4",MONTH('Avance Cuantitativo Productos'!J24)&lt;=12,OR('Avance Cuantitativo Productos'!I24="Mensual",'Avance Cuantitativo Productos'!I24="Bimestral",'Avance Cuantitativo Productos'!I24="Trimestral",'Avance Cuantitativo Productos'!I24="Semestral",'Avance Cuantitativo Productos'!I24="Anual"),SUM(OFFSET('Avance Cuantitativo Productos'!N24,0,0,1,IF($D$2="Q1",_xlfn.XMATCH($D$1,'Avance Cuantitativo Productos'!$N$4:$AS$4,0),IF($D$2="Q2",_xlfn.XMATCH($D$1,'Avance Cuantitativo Productos'!$N$4:$AS$4,0)+1,IF($D$2="Q3",_xlfn.XMATCH($D$1,'Avance Cuantitativo Productos'!$N$4:$AS$4,0)+2,IF($D$2="Q4",_xlfn.XMATCH($D$1,'Avance Cuantitativo Productos'!$N$4:$AS$4,0)+3))))))=0),"Rojo",IF(AND(YEAR('Avance Cuantitativo Productos'!J24)&lt;$D$1,ISERROR('Avance Cuantitativo Productos'!M24)=TRUE),"Rojo",IF(AND(YEAR('Avance Cuantitativo Productos'!J24)&gt;$D$1,ISERROR('Avance Cuantitativo Productos'!M24)=TRUE),"Verde",IF(H23&gt;=0.75,"Verde",IF(AND(H23&lt;0.75,H23&gt;=0.5),"Amarillo",IF(H23&lt;0.5,"Rojo")))))))))</f>
        <v>#NAME?</v>
      </c>
      <c r="J23" s="46" t="e" cm="1">
        <f t="array" aca="1" ref="J23" ca="1">+IF(AND(_xlfn.NUMBERVALUE($D$1)&gt;=YEAR('Avance Cuantitativo Productos'!J24),ISERROR('Avance Cuantitativo Productos'!M24)=TRUE,(OR(AND($D$2="Q1",MONTH('Avance Cuantitativo Productos'!J24)&lt;=3,OR('Avance Cuantitativo Productos'!I24="Mensual",'Avance Cuantitativo Productos'!I24="Bimestral",'Avance Cuantitativo Productos'!I24="Trimestral")),AND($D$2="Q2",MONTH('Avance Cuantitativo Productos'!J24)&lt;=6,OR('Avance Cuantitativo Productos'!I24="Mensual",'Avance Cuantitativo Productos'!I24="Bimestral",'Avance Cuantitativo Productos'!I24="Trimestral",'Avance Cuantitativo Productos'!I24="Semestral")),AND($D$2="Q3",MONTH('Avance Cuantitativo Productos'!J24)&lt;=9,OR('Avance Cuantitativo Productos'!I24="Mensual",'Avance Cuantitativo Productos'!I24="Bimestral",'Avance Cuantitativo Productos'!I24="Trimestral",'Avance Cuantitativo Productos'!I24="Semestral")),AND($D$2="Q4",MONTH('Avance Cuantitativo Productos'!J24)&lt;=12,OR('Avance Cuantitativo Productos'!I24="Mensual",'Avance Cuantitativo Productos'!I24="Bimestral",'Avance Cuantitativo Productos'!I24="Trimestral",'Avance Cuantitativo Productos'!I24="Semestral",'Avance Cuantitativo Productos'!I24="Anual"))))),0,_xlfn.XLOOKUP($D$1,TRANSPOSE(Anios_Reporte[Año de Reporte]),_xlfn.XLOOKUP(Panel_Control[[#This Row],[Producto '#]],Info_Productos_Cuantitativo[Producto No.],Avance_Acumulado_Productos[])))</f>
        <v>#NAME?</v>
      </c>
      <c r="K23" s="17" t="e">
        <f ca="1">+IF(AND($D$1=YEAR('Avance Cuantitativo Productos'!J24),'Panel de Control PRODUCTOS'!$D$2="Q1",MONTH('Avance Cuantitativo Productos'!J24)&lt;=3,OR('Avance Cuantitativo Productos'!I24="Mensual",'Avance Cuantitativo Productos'!I24="Bimestral",'Avance Cuantitativo Productos'!I24="Trimestral"),SUM(OFFSET('Avance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PRODUCTOS'!$D$2="Q2",MONTH('Avance Cuantitativo Productos'!J24)&lt;=6,OR('Avance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PRODUCTOS'!$D$2="Q3",MONTH('Avance Cuantitativo Productos'!J24)&lt;=9,OR('Avance Cuantitativo Productos'!I24="Mensual",'Avance Cuantitativo Productos'!I24="Bimestral",'Avance Cuantitativo Productos'!I24="Trimestral",'Avance Cuantitativo Productos'!I24="Semestral"),SUM(OFFSET('Avance Cuantitativo Productos'!N24,0,0,1,IF($D$2="Q1",_xlfn.XMATCH($D$1,'Avance Cuantitativo Productos'!$N$4:$AS$4,0),IF($D$2="Q2",_xlfn.XMATCH($D$1,'Avance Cuantitativo Productos'!$N$4:$AS$4,0)+1,IF($D$2="Q3",_xlfn.XMATCH($D$1,'Avance Cuantitativo Productos'!$N$4:$AS$4,0)+2,IF($D$2="Q4",_xlfn.XMATCH($D$1,'Avance Cuantitativo Productos'!$N$4:$AS$4,0)+3))))))=0),"Rojo",IF(AND($D$1=YEAR('Avance Cuantitativo Productos'!J24),'Panel de Control PRODUCTOS'!$D$2="Q4",MONTH('Avance Cuantitativo Productos'!J24)&lt;=12,OR('Avance Cuantitativo Productos'!I24="Mensual",'Avance Cuantitativo Productos'!I24="Bimestral",'Avance Cuantitativo Productos'!I24="Trimestral",'Avance Cuantitativo Productos'!I24="Semestral",'Avance Cuantitativo Productos'!I24="Anual"),SUM(OFFSET('Avance Cuantitativo Productos'!N24,0,0,1,IF($D$2="Q1",_xlfn.XMATCH($D$1,'Avance Cuantitativo Productos'!$N$4:$AS$4,0),IF($D$2="Q2",_xlfn.XMATCH($D$1,'Avance Cuantitativo Productos'!$N$4:$AS$4,0)+1,IF($D$2="Q3",_xlfn.XMATCH($D$1,'Avance Cuantitativo Productos'!$N$4:$AS$4,0)+2,IF($D$2="Q4",_xlfn.XMATCH($D$1,'Avance Cuantitativo Productos'!$N$4:$AS$4,0)+3))))))=0),"Rojo",IF(AND(YEAR('Avance Cuantitativo Productos'!J24)&lt;$D$1,ISERROR('Avance Cuantitativo Productos'!M24)=TRUE),"Rojo",IF(AND(YEAR('Avance Cuantitativo Productos'!J24)&gt;$D$1,ISERROR('Avance Cuantitativo Productos'!M24)=TRUE),"Verde",IF(J23&gt;=0.75,"Verde",IF(AND(J23&lt;0.75,J23&gt;=0.5),"Amarillo",IF(J23&lt;0.5,"Rojo")))))))))</f>
        <v>#NAME?</v>
      </c>
      <c r="L23" s="46" t="e">
        <f t="shared" ca="1" si="0"/>
        <v>#NAME?</v>
      </c>
      <c r="M23" s="26" t="e">
        <f ca="1">+IF(Panel_Control[[#This Row],[PAV. Ajustado (100%)]]="","",Panel_Control[[#This Row],[PAV. Ajustado (100%)]]*Panel_Control[[#This Row],[Ponderación relativa del Producto (%)]])</f>
        <v>#NAME?</v>
      </c>
      <c r="N23" s="46" t="e">
        <f t="shared" ca="1" si="1"/>
        <v>#NAME?</v>
      </c>
      <c r="O23" s="26" t="e">
        <f ca="1">+IF(Panel_Control[[#This Row],[Porcentaje de Avance Hasta la Vigencia (100%)]]="","",Panel_Control[[#This Row],[Porcentaje de Avance Hasta la Vigencia (100%)]]*Panel_Control[[#This Row],[Ponderación relativa del Producto (%)]])</f>
        <v>#NAME?</v>
      </c>
      <c r="P23" s="46" t="e">
        <f t="shared" ca="1" si="2"/>
        <v>#NAME?</v>
      </c>
      <c r="Q23" s="26" t="e">
        <f ca="1">+IF(Panel_Control[[#This Row],[PAA. (100%)]]="","",Panel_Control[[#This Row],[PAA. (100%)]]*Panel_Control[[#This Row],[Ponderación relativa del Producto (%)]])</f>
        <v>#NAME?</v>
      </c>
      <c r="R23" s="47" cm="1">
        <f t="array" ref="R23">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0.14285714285714285</v>
      </c>
      <c r="S23" s="26">
        <f>+Panel_Control[[#This Row],[Trayectoria Acumulada (Avance ideal)]]*Panel_Control[[#This Row],[Ponderación relativa del Producto (%)]]</f>
        <v>7.1428571428571426E-3</v>
      </c>
    </row>
    <row r="24" spans="1:19" x14ac:dyDescent="0.3">
      <c r="A24" s="16">
        <f>+'Avance Cuantitativo Productos'!A25</f>
        <v>20</v>
      </c>
      <c r="B24" s="16" t="str">
        <f>+'Avance Cuantitativo Productos'!B25</f>
        <v>3.</v>
      </c>
      <c r="C24" s="44" t="str">
        <f>+'Avance Cuantitativo Productos'!C25</f>
        <v>3.1.2. Jornada de Intensificación de la Actividad Física desarrollada.</v>
      </c>
      <c r="D24" s="44" t="str">
        <f>+'Avance Cuantitativo Productos'!E25</f>
        <v>Salud</v>
      </c>
      <c r="E24" s="45">
        <f>IF(ISNA('Avance Cuantitativo Productos'!M25)=FALSE,'Avance Cuantitativo Productos'!F25,IF($D$1&gt;YEAR('Avance Cuantitativo Productos'!J25),'Avance Cuantitativo Productos'!F25,IF($D$1&lt;YEAR('Avance Cuantitativo Productos'!J25),0,IF(AND($D$1=YEAR('Avance Cuantitativo Productos'!J25),$D$2="Q1",OR('Avance Cuantitativo Productos'!I25&lt;&gt;"Mensual",'Avance Cuantitativo Productos'!I25&lt;&gt;"Bimestral",'Avance Cuantitativo Productos'!I25&lt;&gt;"Trimestral")),0,IF(AND($D$1=YEAR('Avance Cuantitativo Productos'!J25),$D$2="Q2",OR('Avance Cuantitativo Productos'!I25&lt;&gt;"Mensual",'Avance Cuantitativo Productos'!I25&lt;&gt;"Bimestral",'Avance Cuantitativo Productos'!I25&lt;&gt;"Trimestral",'Avance Cuantitativo Productos'!I25&lt;&gt;"Semestral")),0,IF(AND($D$1=YEAR('Avance Cuantitativo Productos'!J25),$D$2="Q3",OR('Avance Cuantitativo Productos'!I25&lt;&gt;"Mensual",'Avance Cuantitativo Productos'!I25&lt;&gt;"Bimestral",'Avance Cuantitativo Productos'!I25&lt;&gt;"Trimestral",'Avance Cuantitativo Productos'!I25&lt;&gt;"Semestral")),0,IF(AND($D$1=YEAR('Avance Cuantitativo Productos'!J25),$D$2="Q4",OR('Avance Cuantitativo Productos'!I25&lt;&gt;"Mensual",'Avance Cuantitativo Productos'!I25&lt;&gt;"Bimestral",'Avance Cuantitativo Productos'!I25&lt;&gt;"Trimestral",'Avance Cuantitativo Productos'!I25&lt;&gt;"Semestral",'Avance Cuantitativo Productos'!I25&lt;&gt;"Anual")),0,'Avance Cuantitativo Productos'!F25)))))))</f>
        <v>0.05</v>
      </c>
      <c r="F24" s="46" t="e" cm="1">
        <f t="array" aca="1" ref="F24" ca="1">+IF(AND(_xlfn.NUMBERVALUE($D$1)&gt;=YEAR('Avance Cuantitativo Productos'!J25),ISERROR('Avance Cuantitativo Productos'!M25)=TRUE,(OR(AND($D$2="Q1",MONTH('Avance Cuantitativo Productos'!J25)&lt;=3,OR('Avance Cuantitativo Productos'!I25="Mensual",'Avance Cuantitativo Productos'!I25="Bimestral",'Avance Cuantitativo Productos'!I25="Trimestral")),AND($D$2="Q2",MONTH('Avance Cuantitativo Productos'!J25)&lt;=6,OR('Avance Cuantitativo Productos'!I25="Mensual",'Avance Cuantitativo Productos'!I25="Bimestral",'Avance Cuantitativo Productos'!I25="Trimestral",'Avance Cuantitativo Productos'!I25="Semestral")),AND($D$2="Q3",MONTH('Avance Cuantitativo Productos'!J25)&lt;=9,OR('Avance Cuantitativo Productos'!I25="Mensual",'Avance Cuantitativo Productos'!I25="Bimestral",'Avance Cuantitativo Productos'!I25="Trimestral",'Avance Cuantitativo Productos'!I25="Semestral")),AND($D$2="Q4",MONTH('Avance Cuantitativo Productos'!J25)&lt;=12,OR('Avance Cuantitativo Productos'!I25="Mensual",'Avance Cuantitativo Productos'!I25="Bimestral",'Avance Cuantitativo Productos'!I25="Trimestral",'Avance Cuantitativo Productos'!I25="Semestral",'Avance Cuantitativo Productos'!I25="Anual"))))),0,_xlfn.XLOOKUP($D$1,TRANSPOSE(Anios_Reporte[Año de Reporte]),_xlfn.XLOOKUP(Panel_Control[[#This Row],[Producto '#]],Info_Productos_Cuantitativo[Producto No.],Avance_en_Vigencia_Productos[])))</f>
        <v>#NAME?</v>
      </c>
      <c r="G24" s="17" t="e">
        <f ca="1">+IF(AND($D$1=YEAR('Avance Cuantitativo Productos'!J25),'Panel de Control PRODUCTOS'!$D$2="Q1",OR('Avance Cuantitativo Productos'!I25="Mensual",'Avance Cuantitativo Productos'!I25="Bimestral",'Avance Cuantitativo Productos'!I25="Trimestral"),MONTH('Avance Cuantitativo Productos'!J25)&lt;=3,SUM(OFFSET('Avance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PRODUCTOS'!$D$2="Q2",MONTH('Avance Cuantitativo Productos'!J25)&lt;=6,OR('Avance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PRODUCTOS'!$D$2="Q3",MONTH('Avance Cuantitativo Productos'!J25)&lt;=9,OR('Avance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PRODUCTOS'!$D$2="Q4",MONTH('Avance Cuantitativo Productos'!J25)&lt;=12,OR('Avance Cuantitativo Productos'!I25="Mensual",'Avance Cuantitativo Productos'!I25="Bimestral",'Avance Cuantitativo Productos'!I25="Trimestral",'Avance Cuantitativo Productos'!I25="Semestral",'Avance Cuantitativo Productos'!I25="Anual"),SUM(OFFSET('Avance Cuantitativo Productos'!N25,0,0,1,IF($D$2="Q1",_xlfn.XMATCH($D$1,'Avance Cuantitativo Productos'!$N$4:$AS$4,0),IF($D$2="Q2",_xlfn.XMATCH($D$1,'Avance Cuantitativo Productos'!$N$4:$AS$4,0)+1,IF($D$2="Q3",_xlfn.XMATCH($D$1,'Avance Cuantitativo Productos'!$N$4:$AS$4,0)+2,IF($D$2="Q4",_xlfn.XMATCH($D$1,'Avance Cuantitativo Productos'!$N$4:$AS$4,0)+3)))))))=0,"Rojo",IF(F24&gt;=0.75,"Verde",IF(AND(F24&lt;0.75,F24&gt;=0.5),"Amarillo",IF(F24&lt;0.5,"Rojo","ERROR")))))))</f>
        <v>#NAME?</v>
      </c>
      <c r="H24" s="46" t="e" cm="1">
        <f t="array" aca="1" ref="H24" ca="1">+IF(AND(_xlfn.NUMBERVALUE($D$1)&gt;=YEAR('Avance Cuantitativo Productos'!J25),ISERROR('Avance Cuantitativo Productos'!M25)=TRUE,(OR(AND($D$2="Q1",MONTH('Avance Cuantitativo Productos'!J25)&lt;=3,OR('Avance Cuantitativo Productos'!I25="Mensual",'Avance Cuantitativo Productos'!I25="Bimestral",'Avance Cuantitativo Productos'!I25="Trimestral")),AND($D$2="Q2",MONTH('Avance Cuantitativo Productos'!J25)&lt;=6,OR('Avance Cuantitativo Productos'!I25="Mensual",'Avance Cuantitativo Productos'!I25="Bimestral",'Avance Cuantitativo Productos'!I25="Trimestral",'Avance Cuantitativo Productos'!I25="Semestral")),AND($D$2="Q3",MONTH('Avance Cuantitativo Productos'!J25)&lt;=9,OR('Avance Cuantitativo Productos'!I25="Mensual",'Avance Cuantitativo Productos'!I25="Bimestral",'Avance Cuantitativo Productos'!I25="Trimestral",'Avance Cuantitativo Productos'!I25="Semestral")),AND($D$2="Q4",MONTH('Avance Cuantitativo Productos'!J25)&lt;=12,OR('Avance Cuantitativo Productos'!I25="Mensual",'Avance Cuantitativo Productos'!I25="Bimestral",'Avance Cuantitativo Productos'!I25="Trimestral",'Avance Cuantitativo Productos'!I25="Semestral",'Avance Cuantitativo Productos'!I25="Anual"))))),0,_xlfn.XLOOKUP($D$1,TRANSPOSE(Anios_Reporte[Año de Reporte]),_xlfn.XLOOKUP(Panel_Control[[#This Row],[Producto '#]],Info_Productos_Cuantitativo[Producto No.],Avance_Hasta_Vigencia_Productos[])))</f>
        <v>#NAME?</v>
      </c>
      <c r="I24" s="16" t="e">
        <f ca="1">+IF(AND($D$1=YEAR('Avance Cuantitativo Productos'!J25),'Panel de Control PRODUCTOS'!$D$2="Q1",MONTH('Avance Cuantitativo Productos'!J25)&lt;=3,OR('Avance Cuantitativo Productos'!I25="Mensual",'Avance Cuantitativo Productos'!I25="Bimestral",'Avance Cuantitativo Productos'!I25="Trimestral"),SUM(OFFSET('Avance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PRODUCTOS'!$D$2="Q2",MONTH('Avance Cuantitativo Productos'!J25)&lt;=6,OR('Avance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PRODUCTOS'!$D$2="Q3",MONTH('Avance Cuantitativo Productos'!J25)&lt;=9,OR('Avance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PRODUCTOS'!$D$2="Q4",MONTH('Avance Cuantitativo Productos'!J25)&lt;=12,OR('Avance Cuantitativo Productos'!I25="Mensual",'Avance Cuantitativo Productos'!I25="Bimestral",'Avance Cuantitativo Productos'!I25="Trimestral",'Avance Cuantitativo Productos'!I25="Semestral",'Avance Cuantitativo Productos'!I25="Anual"),SUM(OFFSET('Avance Cuantitativo Productos'!N25,0,0,1,IF($D$2="Q1",_xlfn.XMATCH($D$1,'Avance Cuantitativo Productos'!$N$4:$AS$4,0),IF($D$2="Q2",_xlfn.XMATCH($D$1,'Avance Cuantitativo Productos'!$N$4:$AS$4,0)+1,IF($D$2="Q3",_xlfn.XMATCH($D$1,'Avance Cuantitativo Productos'!$N$4:$AS$4,0)+2,IF($D$2="Q4",_xlfn.XMATCH($D$1,'Avance Cuantitativo Productos'!$N$4:$AS$4,0)+3))))))=0),"Rojo",IF(AND(YEAR('Avance Cuantitativo Productos'!J25)&lt;$D$1,ISERROR('Avance Cuantitativo Productos'!M25)=TRUE),"Rojo",IF(AND(YEAR('Avance Cuantitativo Productos'!J25)&gt;$D$1,ISERROR('Avance Cuantitativo Productos'!M25)=TRUE),"Verde",IF(H24&gt;=0.75,"Verde",IF(AND(H24&lt;0.75,H24&gt;=0.5),"Amarillo",IF(H24&lt;0.5,"Rojo")))))))))</f>
        <v>#NAME?</v>
      </c>
      <c r="J24" s="46" t="e" cm="1">
        <f t="array" aca="1" ref="J24" ca="1">+IF(AND(_xlfn.NUMBERVALUE($D$1)&gt;=YEAR('Avance Cuantitativo Productos'!J25),ISERROR('Avance Cuantitativo Productos'!M25)=TRUE,(OR(AND($D$2="Q1",MONTH('Avance Cuantitativo Productos'!J25)&lt;=3,OR('Avance Cuantitativo Productos'!I25="Mensual",'Avance Cuantitativo Productos'!I25="Bimestral",'Avance Cuantitativo Productos'!I25="Trimestral")),AND($D$2="Q2",MONTH('Avance Cuantitativo Productos'!J25)&lt;=6,OR('Avance Cuantitativo Productos'!I25="Mensual",'Avance Cuantitativo Productos'!I25="Bimestral",'Avance Cuantitativo Productos'!I25="Trimestral",'Avance Cuantitativo Productos'!I25="Semestral")),AND($D$2="Q3",MONTH('Avance Cuantitativo Productos'!J25)&lt;=9,OR('Avance Cuantitativo Productos'!I25="Mensual",'Avance Cuantitativo Productos'!I25="Bimestral",'Avance Cuantitativo Productos'!I25="Trimestral",'Avance Cuantitativo Productos'!I25="Semestral")),AND($D$2="Q4",MONTH('Avance Cuantitativo Productos'!J25)&lt;=12,OR('Avance Cuantitativo Productos'!I25="Mensual",'Avance Cuantitativo Productos'!I25="Bimestral",'Avance Cuantitativo Productos'!I25="Trimestral",'Avance Cuantitativo Productos'!I25="Semestral",'Avance Cuantitativo Productos'!I25="Anual"))))),0,_xlfn.XLOOKUP($D$1,TRANSPOSE(Anios_Reporte[Año de Reporte]),_xlfn.XLOOKUP(Panel_Control[[#This Row],[Producto '#]],Info_Productos_Cuantitativo[Producto No.],Avance_Acumulado_Productos[])))</f>
        <v>#NAME?</v>
      </c>
      <c r="K24" s="17" t="e">
        <f ca="1">+IF(AND($D$1=YEAR('Avance Cuantitativo Productos'!J25),'Panel de Control PRODUCTOS'!$D$2="Q1",MONTH('Avance Cuantitativo Productos'!J25)&lt;=3,OR('Avance Cuantitativo Productos'!I25="Mensual",'Avance Cuantitativo Productos'!I25="Bimestral",'Avance Cuantitativo Productos'!I25="Trimestral"),SUM(OFFSET('Avance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PRODUCTOS'!$D$2="Q2",MONTH('Avance Cuantitativo Productos'!J25)&lt;=6,OR('Avance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PRODUCTOS'!$D$2="Q3",MONTH('Avance Cuantitativo Productos'!J25)&lt;=9,OR('Avance Cuantitativo Productos'!I25="Mensual",'Avance Cuantitativo Productos'!I25="Bimestral",'Avance Cuantitativo Productos'!I25="Trimestral",'Avance Cuantitativo Productos'!I25="Semestral"),SUM(OFFSET('Avance Cuantitativo Productos'!N25,0,0,1,IF($D$2="Q1",_xlfn.XMATCH($D$1,'Avance Cuantitativo Productos'!$N$4:$AS$4,0),IF($D$2="Q2",_xlfn.XMATCH($D$1,'Avance Cuantitativo Productos'!$N$4:$AS$4,0)+1,IF($D$2="Q3",_xlfn.XMATCH($D$1,'Avance Cuantitativo Productos'!$N$4:$AS$4,0)+2,IF($D$2="Q4",_xlfn.XMATCH($D$1,'Avance Cuantitativo Productos'!$N$4:$AS$4,0)+3))))))=0),"Rojo",IF(AND($D$1=YEAR('Avance Cuantitativo Productos'!J25),'Panel de Control PRODUCTOS'!$D$2="Q4",MONTH('Avance Cuantitativo Productos'!J25)&lt;=12,OR('Avance Cuantitativo Productos'!I25="Mensual",'Avance Cuantitativo Productos'!I25="Bimestral",'Avance Cuantitativo Productos'!I25="Trimestral",'Avance Cuantitativo Productos'!I25="Semestral",'Avance Cuantitativo Productos'!I25="Anual"),SUM(OFFSET('Avance Cuantitativo Productos'!N25,0,0,1,IF($D$2="Q1",_xlfn.XMATCH($D$1,'Avance Cuantitativo Productos'!$N$4:$AS$4,0),IF($D$2="Q2",_xlfn.XMATCH($D$1,'Avance Cuantitativo Productos'!$N$4:$AS$4,0)+1,IF($D$2="Q3",_xlfn.XMATCH($D$1,'Avance Cuantitativo Productos'!$N$4:$AS$4,0)+2,IF($D$2="Q4",_xlfn.XMATCH($D$1,'Avance Cuantitativo Productos'!$N$4:$AS$4,0)+3))))))=0),"Rojo",IF(AND(YEAR('Avance Cuantitativo Productos'!J25)&lt;$D$1,ISERROR('Avance Cuantitativo Productos'!M25)=TRUE),"Rojo",IF(AND(YEAR('Avance Cuantitativo Productos'!J25)&gt;$D$1,ISERROR('Avance Cuantitativo Productos'!M25)=TRUE),"Verde",IF(J24&gt;=0.75,"Verde",IF(AND(J24&lt;0.75,J24&gt;=0.5),"Amarillo",IF(J24&lt;0.5,"Rojo")))))))))</f>
        <v>#NAME?</v>
      </c>
      <c r="L24" s="46" t="e">
        <f t="shared" ca="1" si="0"/>
        <v>#NAME?</v>
      </c>
      <c r="M24" s="26" t="e">
        <f ca="1">+IF(Panel_Control[[#This Row],[PAV. Ajustado (100%)]]="","",Panel_Control[[#This Row],[PAV. Ajustado (100%)]]*Panel_Control[[#This Row],[Ponderación relativa del Producto (%)]])</f>
        <v>#NAME?</v>
      </c>
      <c r="N24" s="46" t="e">
        <f t="shared" ca="1" si="1"/>
        <v>#NAME?</v>
      </c>
      <c r="O24" s="26" t="e">
        <f ca="1">+IF(Panel_Control[[#This Row],[Porcentaje de Avance Hasta la Vigencia (100%)]]="","",Panel_Control[[#This Row],[Porcentaje de Avance Hasta la Vigencia (100%)]]*Panel_Control[[#This Row],[Ponderación relativa del Producto (%)]])</f>
        <v>#NAME?</v>
      </c>
      <c r="P24" s="46" t="e">
        <f t="shared" ca="1" si="2"/>
        <v>#NAME?</v>
      </c>
      <c r="Q24" s="26" t="e">
        <f ca="1">+IF(Panel_Control[[#This Row],[PAA. (100%)]]="","",Panel_Control[[#This Row],[PAA. (100%)]]*Panel_Control[[#This Row],[Ponderación relativa del Producto (%)]])</f>
        <v>#NAME?</v>
      </c>
      <c r="R24" s="47" cm="1">
        <f t="array" ref="R24">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1</v>
      </c>
      <c r="S24" s="26">
        <f>+Panel_Control[[#This Row],[Trayectoria Acumulada (Avance ideal)]]*Panel_Control[[#This Row],[Ponderación relativa del Producto (%)]]</f>
        <v>0.05</v>
      </c>
    </row>
    <row r="25" spans="1:19" ht="43.2" x14ac:dyDescent="0.3">
      <c r="A25" s="16">
        <f>+'Avance Cuantitativo Productos'!A26</f>
        <v>21</v>
      </c>
      <c r="B25" s="16" t="str">
        <f>+'Avance Cuantitativo Productos'!B26</f>
        <v>3.</v>
      </c>
      <c r="C25" s="44" t="str">
        <f>+'Avance Cuantitativo Productos'!C26</f>
        <v>3.1.3. Oferta de actividades en la Biblioteca Pública del Deporte y la Actividad Física, para la promoción de hábitos saludables y beneficios del deporte, a través de las practicas de lectura, escritura y oralidad.</v>
      </c>
      <c r="D25" s="44" t="str">
        <f>+'Avance Cuantitativo Productos'!E26</f>
        <v xml:space="preserve">Cultura, Recreación y Deporte </v>
      </c>
      <c r="E25" s="45">
        <f>IF(ISNA('Avance Cuantitativo Productos'!M26)=FALSE,'Avance Cuantitativo Productos'!F26,IF($D$1&gt;YEAR('Avance Cuantitativo Productos'!J26),'Avance Cuantitativo Productos'!F26,IF($D$1&lt;YEAR('Avance Cuantitativo Productos'!J26),0,IF(AND($D$1=YEAR('Avance Cuantitativo Productos'!J26),$D$2="Q1",OR('Avance Cuantitativo Productos'!I26&lt;&gt;"Mensual",'Avance Cuantitativo Productos'!I26&lt;&gt;"Bimestral",'Avance Cuantitativo Productos'!I26&lt;&gt;"Trimestral")),0,IF(AND($D$1=YEAR('Avance Cuantitativo Productos'!J26),$D$2="Q2",OR('Avance Cuantitativo Productos'!I26&lt;&gt;"Mensual",'Avance Cuantitativo Productos'!I26&lt;&gt;"Bimestral",'Avance Cuantitativo Productos'!I26&lt;&gt;"Trimestral",'Avance Cuantitativo Productos'!I26&lt;&gt;"Semestral")),0,IF(AND($D$1=YEAR('Avance Cuantitativo Productos'!J26),$D$2="Q3",OR('Avance Cuantitativo Productos'!I26&lt;&gt;"Mensual",'Avance Cuantitativo Productos'!I26&lt;&gt;"Bimestral",'Avance Cuantitativo Productos'!I26&lt;&gt;"Trimestral",'Avance Cuantitativo Productos'!I26&lt;&gt;"Semestral")),0,IF(AND($D$1=YEAR('Avance Cuantitativo Productos'!J26),$D$2="Q4",OR('Avance Cuantitativo Productos'!I26&lt;&gt;"Mensual",'Avance Cuantitativo Productos'!I26&lt;&gt;"Bimestral",'Avance Cuantitativo Productos'!I26&lt;&gt;"Trimestral",'Avance Cuantitativo Productos'!I26&lt;&gt;"Semestral",'Avance Cuantitativo Productos'!I26&lt;&gt;"Anual")),0,'Avance Cuantitativo Productos'!F26)))))))</f>
        <v>0.05</v>
      </c>
      <c r="F25" s="46" t="e" cm="1">
        <f t="array" aca="1" ref="F25" ca="1">+IF(AND(_xlfn.NUMBERVALUE($D$1)&gt;=YEAR('Avance Cuantitativo Productos'!J26),ISERROR('Avance Cuantitativo Productos'!M26)=TRUE,(OR(AND($D$2="Q1",MONTH('Avance Cuantitativo Productos'!J26)&lt;=3,OR('Avance Cuantitativo Productos'!I26="Mensual",'Avance Cuantitativo Productos'!I26="Bimestral",'Avance Cuantitativo Productos'!I26="Trimestral")),AND($D$2="Q2",MONTH('Avance Cuantitativo Productos'!J26)&lt;=6,OR('Avance Cuantitativo Productos'!I26="Mensual",'Avance Cuantitativo Productos'!I26="Bimestral",'Avance Cuantitativo Productos'!I26="Trimestral",'Avance Cuantitativo Productos'!I26="Semestral")),AND($D$2="Q3",MONTH('Avance Cuantitativo Productos'!J26)&lt;=9,OR('Avance Cuantitativo Productos'!I26="Mensual",'Avance Cuantitativo Productos'!I26="Bimestral",'Avance Cuantitativo Productos'!I26="Trimestral",'Avance Cuantitativo Productos'!I26="Semestral")),AND($D$2="Q4",MONTH('Avance Cuantitativo Productos'!J26)&lt;=12,OR('Avance Cuantitativo Productos'!I26="Mensual",'Avance Cuantitativo Productos'!I26="Bimestral",'Avance Cuantitativo Productos'!I26="Trimestral",'Avance Cuantitativo Productos'!I26="Semestral",'Avance Cuantitativo Productos'!I26="Anual"))))),0,_xlfn.XLOOKUP($D$1,TRANSPOSE(Anios_Reporte[Año de Reporte]),_xlfn.XLOOKUP(Panel_Control[[#This Row],[Producto '#]],Info_Productos_Cuantitativo[Producto No.],Avance_en_Vigencia_Productos[])))</f>
        <v>#NAME?</v>
      </c>
      <c r="G25" s="17" t="e">
        <f ca="1">+IF(AND($D$1=YEAR('Avance Cuantitativo Productos'!J26),'Panel de Control PRODUCTOS'!$D$2="Q1",OR('Avance Cuantitativo Productos'!I26="Mensual",'Avance Cuantitativo Productos'!I26="Bimestral",'Avance Cuantitativo Productos'!I26="Trimestral"),MONTH('Avance Cuantitativo Productos'!J26)&lt;=3,SUM(OFFSET('Avance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PRODUCTOS'!$D$2="Q2",MONTH('Avance Cuantitativo Productos'!J26)&lt;=6,OR('Avance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PRODUCTOS'!$D$2="Q3",MONTH('Avance Cuantitativo Productos'!J26)&lt;=9,OR('Avance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PRODUCTOS'!$D$2="Q4",MONTH('Avance Cuantitativo Productos'!J26)&lt;=12,OR('Avance Cuantitativo Productos'!I26="Mensual",'Avance Cuantitativo Productos'!I26="Bimestral",'Avance Cuantitativo Productos'!I26="Trimestral",'Avance Cuantitativo Productos'!I26="Semestral",'Avance Cuantitativo Productos'!I26="Anual"),SUM(OFFSET('Avance Cuantitativo Productos'!N26,0,0,1,IF($D$2="Q1",_xlfn.XMATCH($D$1,'Avance Cuantitativo Productos'!$N$4:$AS$4,0),IF($D$2="Q2",_xlfn.XMATCH($D$1,'Avance Cuantitativo Productos'!$N$4:$AS$4,0)+1,IF($D$2="Q3",_xlfn.XMATCH($D$1,'Avance Cuantitativo Productos'!$N$4:$AS$4,0)+2,IF($D$2="Q4",_xlfn.XMATCH($D$1,'Avance Cuantitativo Productos'!$N$4:$AS$4,0)+3)))))))=0,"Rojo",IF(F25&gt;=0.75,"Verde",IF(AND(F25&lt;0.75,F25&gt;=0.5),"Amarillo",IF(F25&lt;0.5,"Rojo","ERROR")))))))</f>
        <v>#NAME?</v>
      </c>
      <c r="H25" s="46" t="e" cm="1">
        <f t="array" aca="1" ref="H25" ca="1">+IF(AND(_xlfn.NUMBERVALUE($D$1)&gt;=YEAR('Avance Cuantitativo Productos'!J26),ISERROR('Avance Cuantitativo Productos'!M26)=TRUE,(OR(AND($D$2="Q1",MONTH('Avance Cuantitativo Productos'!J26)&lt;=3,OR('Avance Cuantitativo Productos'!I26="Mensual",'Avance Cuantitativo Productos'!I26="Bimestral",'Avance Cuantitativo Productos'!I26="Trimestral")),AND($D$2="Q2",MONTH('Avance Cuantitativo Productos'!J26)&lt;=6,OR('Avance Cuantitativo Productos'!I26="Mensual",'Avance Cuantitativo Productos'!I26="Bimestral",'Avance Cuantitativo Productos'!I26="Trimestral",'Avance Cuantitativo Productos'!I26="Semestral")),AND($D$2="Q3",MONTH('Avance Cuantitativo Productos'!J26)&lt;=9,OR('Avance Cuantitativo Productos'!I26="Mensual",'Avance Cuantitativo Productos'!I26="Bimestral",'Avance Cuantitativo Productos'!I26="Trimestral",'Avance Cuantitativo Productos'!I26="Semestral")),AND($D$2="Q4",MONTH('Avance Cuantitativo Productos'!J26)&lt;=12,OR('Avance Cuantitativo Productos'!I26="Mensual",'Avance Cuantitativo Productos'!I26="Bimestral",'Avance Cuantitativo Productos'!I26="Trimestral",'Avance Cuantitativo Productos'!I26="Semestral",'Avance Cuantitativo Productos'!I26="Anual"))))),0,_xlfn.XLOOKUP($D$1,TRANSPOSE(Anios_Reporte[Año de Reporte]),_xlfn.XLOOKUP(Panel_Control[[#This Row],[Producto '#]],Info_Productos_Cuantitativo[Producto No.],Avance_Hasta_Vigencia_Productos[])))</f>
        <v>#NAME?</v>
      </c>
      <c r="I25" s="16" t="e">
        <f ca="1">+IF(AND($D$1=YEAR('Avance Cuantitativo Productos'!J26),'Panel de Control PRODUCTOS'!$D$2="Q1",MONTH('Avance Cuantitativo Productos'!J26)&lt;=3,OR('Avance Cuantitativo Productos'!I26="Mensual",'Avance Cuantitativo Productos'!I26="Bimestral",'Avance Cuantitativo Productos'!I26="Trimestral"),SUM(OFFSET('Avance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PRODUCTOS'!$D$2="Q2",MONTH('Avance Cuantitativo Productos'!J26)&lt;=6,OR('Avance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PRODUCTOS'!$D$2="Q3",MONTH('Avance Cuantitativo Productos'!J26)&lt;=9,OR('Avance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PRODUCTOS'!$D$2="Q4",MONTH('Avance Cuantitativo Productos'!J26)&lt;=12,OR('Avance Cuantitativo Productos'!I26="Mensual",'Avance Cuantitativo Productos'!I26="Bimestral",'Avance Cuantitativo Productos'!I26="Trimestral",'Avance Cuantitativo Productos'!I26="Semestral",'Avance Cuantitativo Productos'!I26="Anual"),SUM(OFFSET('Avance Cuantitativo Productos'!N26,0,0,1,IF($D$2="Q1",_xlfn.XMATCH($D$1,'Avance Cuantitativo Productos'!$N$4:$AS$4,0),IF($D$2="Q2",_xlfn.XMATCH($D$1,'Avance Cuantitativo Productos'!$N$4:$AS$4,0)+1,IF($D$2="Q3",_xlfn.XMATCH($D$1,'Avance Cuantitativo Productos'!$N$4:$AS$4,0)+2,IF($D$2="Q4",_xlfn.XMATCH($D$1,'Avance Cuantitativo Productos'!$N$4:$AS$4,0)+3))))))=0),"Rojo",IF(AND(YEAR('Avance Cuantitativo Productos'!J26)&lt;$D$1,ISERROR('Avance Cuantitativo Productos'!M26)=TRUE),"Rojo",IF(AND(YEAR('Avance Cuantitativo Productos'!J26)&gt;$D$1,ISERROR('Avance Cuantitativo Productos'!M26)=TRUE),"Verde",IF(H25&gt;=0.75,"Verde",IF(AND(H25&lt;0.75,H25&gt;=0.5),"Amarillo",IF(H25&lt;0.5,"Rojo")))))))))</f>
        <v>#NAME?</v>
      </c>
      <c r="J25" s="46" t="e" cm="1">
        <f t="array" aca="1" ref="J25" ca="1">+IF(AND(_xlfn.NUMBERVALUE($D$1)&gt;=YEAR('Avance Cuantitativo Productos'!J26),ISERROR('Avance Cuantitativo Productos'!M26)=TRUE,(OR(AND($D$2="Q1",MONTH('Avance Cuantitativo Productos'!J26)&lt;=3,OR('Avance Cuantitativo Productos'!I26="Mensual",'Avance Cuantitativo Productos'!I26="Bimestral",'Avance Cuantitativo Productos'!I26="Trimestral")),AND($D$2="Q2",MONTH('Avance Cuantitativo Productos'!J26)&lt;=6,OR('Avance Cuantitativo Productos'!I26="Mensual",'Avance Cuantitativo Productos'!I26="Bimestral",'Avance Cuantitativo Productos'!I26="Trimestral",'Avance Cuantitativo Productos'!I26="Semestral")),AND($D$2="Q3",MONTH('Avance Cuantitativo Productos'!J26)&lt;=9,OR('Avance Cuantitativo Productos'!I26="Mensual",'Avance Cuantitativo Productos'!I26="Bimestral",'Avance Cuantitativo Productos'!I26="Trimestral",'Avance Cuantitativo Productos'!I26="Semestral")),AND($D$2="Q4",MONTH('Avance Cuantitativo Productos'!J26)&lt;=12,OR('Avance Cuantitativo Productos'!I26="Mensual",'Avance Cuantitativo Productos'!I26="Bimestral",'Avance Cuantitativo Productos'!I26="Trimestral",'Avance Cuantitativo Productos'!I26="Semestral",'Avance Cuantitativo Productos'!I26="Anual"))))),0,_xlfn.XLOOKUP($D$1,TRANSPOSE(Anios_Reporte[Año de Reporte]),_xlfn.XLOOKUP(Panel_Control[[#This Row],[Producto '#]],Info_Productos_Cuantitativo[Producto No.],Avance_Acumulado_Productos[])))</f>
        <v>#NAME?</v>
      </c>
      <c r="K25" s="17" t="e">
        <f ca="1">+IF(AND($D$1=YEAR('Avance Cuantitativo Productos'!J26),'Panel de Control PRODUCTOS'!$D$2="Q1",MONTH('Avance Cuantitativo Productos'!J26)&lt;=3,OR('Avance Cuantitativo Productos'!I26="Mensual",'Avance Cuantitativo Productos'!I26="Bimestral",'Avance Cuantitativo Productos'!I26="Trimestral"),SUM(OFFSET('Avance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PRODUCTOS'!$D$2="Q2",MONTH('Avance Cuantitativo Productos'!J26)&lt;=6,OR('Avance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PRODUCTOS'!$D$2="Q3",MONTH('Avance Cuantitativo Productos'!J26)&lt;=9,OR('Avance Cuantitativo Productos'!I26="Mensual",'Avance Cuantitativo Productos'!I26="Bimestral",'Avance Cuantitativo Productos'!I26="Trimestral",'Avance Cuantitativo Productos'!I26="Semestral"),SUM(OFFSET('Avance Cuantitativo Productos'!N26,0,0,1,IF($D$2="Q1",_xlfn.XMATCH($D$1,'Avance Cuantitativo Productos'!$N$4:$AS$4,0),IF($D$2="Q2",_xlfn.XMATCH($D$1,'Avance Cuantitativo Productos'!$N$4:$AS$4,0)+1,IF($D$2="Q3",_xlfn.XMATCH($D$1,'Avance Cuantitativo Productos'!$N$4:$AS$4,0)+2,IF($D$2="Q4",_xlfn.XMATCH($D$1,'Avance Cuantitativo Productos'!$N$4:$AS$4,0)+3))))))=0),"Rojo",IF(AND($D$1=YEAR('Avance Cuantitativo Productos'!J26),'Panel de Control PRODUCTOS'!$D$2="Q4",MONTH('Avance Cuantitativo Productos'!J26)&lt;=12,OR('Avance Cuantitativo Productos'!I26="Mensual",'Avance Cuantitativo Productos'!I26="Bimestral",'Avance Cuantitativo Productos'!I26="Trimestral",'Avance Cuantitativo Productos'!I26="Semestral",'Avance Cuantitativo Productos'!I26="Anual"),SUM(OFFSET('Avance Cuantitativo Productos'!N26,0,0,1,IF($D$2="Q1",_xlfn.XMATCH($D$1,'Avance Cuantitativo Productos'!$N$4:$AS$4,0),IF($D$2="Q2",_xlfn.XMATCH($D$1,'Avance Cuantitativo Productos'!$N$4:$AS$4,0)+1,IF($D$2="Q3",_xlfn.XMATCH($D$1,'Avance Cuantitativo Productos'!$N$4:$AS$4,0)+2,IF($D$2="Q4",_xlfn.XMATCH($D$1,'Avance Cuantitativo Productos'!$N$4:$AS$4,0)+3))))))=0),"Rojo",IF(AND(YEAR('Avance Cuantitativo Productos'!J26)&lt;$D$1,ISERROR('Avance Cuantitativo Productos'!M26)=TRUE),"Rojo",IF(AND(YEAR('Avance Cuantitativo Productos'!J26)&gt;$D$1,ISERROR('Avance Cuantitativo Productos'!M26)=TRUE),"Verde",IF(J25&gt;=0.75,"Verde",IF(AND(J25&lt;0.75,J25&gt;=0.5),"Amarillo",IF(J25&lt;0.5,"Rojo")))))))))</f>
        <v>#NAME?</v>
      </c>
      <c r="L25" s="46" t="e">
        <f t="shared" ca="1" si="0"/>
        <v>#NAME?</v>
      </c>
      <c r="M25" s="26" t="e">
        <f ca="1">+IF(Panel_Control[[#This Row],[PAV. Ajustado (100%)]]="","",Panel_Control[[#This Row],[PAV. Ajustado (100%)]]*Panel_Control[[#This Row],[Ponderación relativa del Producto (%)]])</f>
        <v>#NAME?</v>
      </c>
      <c r="N25" s="46" t="e">
        <f t="shared" ca="1" si="1"/>
        <v>#NAME?</v>
      </c>
      <c r="O25" s="26" t="e">
        <f ca="1">+IF(Panel_Control[[#This Row],[Porcentaje de Avance Hasta la Vigencia (100%)]]="","",Panel_Control[[#This Row],[Porcentaje de Avance Hasta la Vigencia (100%)]]*Panel_Control[[#This Row],[Ponderación relativa del Producto (%)]])</f>
        <v>#NAME?</v>
      </c>
      <c r="P25" s="46" t="e">
        <f t="shared" ca="1" si="2"/>
        <v>#NAME?</v>
      </c>
      <c r="Q25" s="26" t="e">
        <f ca="1">+IF(Panel_Control[[#This Row],[PAA. (100%)]]="","",Panel_Control[[#This Row],[PAA. (100%)]]*Panel_Control[[#This Row],[Ponderación relativa del Producto (%)]])</f>
        <v>#NAME?</v>
      </c>
      <c r="R25" s="47" cm="1">
        <f t="array" ref="R25">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0.23809523809523808</v>
      </c>
      <c r="S25" s="26">
        <f>+Panel_Control[[#This Row],[Trayectoria Acumulada (Avance ideal)]]*Panel_Control[[#This Row],[Ponderación relativa del Producto (%)]]</f>
        <v>1.1904761904761904E-2</v>
      </c>
    </row>
    <row r="26" spans="1:19" ht="28.8" x14ac:dyDescent="0.3">
      <c r="A26" s="16">
        <f>+'Avance Cuantitativo Productos'!A27</f>
        <v>22</v>
      </c>
      <c r="B26" s="16" t="str">
        <f>+'Avance Cuantitativo Productos'!B27</f>
        <v>4.</v>
      </c>
      <c r="C26" s="44" t="str">
        <f>+'Avance Cuantitativo Productos'!C27</f>
        <v>4.1.1. Promoción y divulgación de campañas que incentiven la participación y la práctica deportiva.</v>
      </c>
      <c r="D26" s="44" t="str">
        <f>+'Avance Cuantitativo Productos'!E27</f>
        <v xml:space="preserve">Cultura, Recreación y Deporte </v>
      </c>
      <c r="E26" s="45">
        <f>IF(ISNA('Avance Cuantitativo Productos'!M27)=FALSE,'Avance Cuantitativo Productos'!F27,IF($D$1&gt;YEAR('Avance Cuantitativo Productos'!J27),'Avance Cuantitativo Productos'!F27,IF($D$1&lt;YEAR('Avance Cuantitativo Productos'!J27),0,IF(AND($D$1=YEAR('Avance Cuantitativo Productos'!J27),$D$2="Q1",OR('Avance Cuantitativo Productos'!I27&lt;&gt;"Mensual",'Avance Cuantitativo Productos'!I27&lt;&gt;"Bimestral",'Avance Cuantitativo Productos'!I27&lt;&gt;"Trimestral")),0,IF(AND($D$1=YEAR('Avance Cuantitativo Productos'!J27),$D$2="Q2",OR('Avance Cuantitativo Productos'!I27&lt;&gt;"Mensual",'Avance Cuantitativo Productos'!I27&lt;&gt;"Bimestral",'Avance Cuantitativo Productos'!I27&lt;&gt;"Trimestral",'Avance Cuantitativo Productos'!I27&lt;&gt;"Semestral")),0,IF(AND($D$1=YEAR('Avance Cuantitativo Productos'!J27),$D$2="Q3",OR('Avance Cuantitativo Productos'!I27&lt;&gt;"Mensual",'Avance Cuantitativo Productos'!I27&lt;&gt;"Bimestral",'Avance Cuantitativo Productos'!I27&lt;&gt;"Trimestral",'Avance Cuantitativo Productos'!I27&lt;&gt;"Semestral")),0,IF(AND($D$1=YEAR('Avance Cuantitativo Productos'!J27),$D$2="Q4",OR('Avance Cuantitativo Productos'!I27&lt;&gt;"Mensual",'Avance Cuantitativo Productos'!I27&lt;&gt;"Bimestral",'Avance Cuantitativo Productos'!I27&lt;&gt;"Trimestral",'Avance Cuantitativo Productos'!I27&lt;&gt;"Semestral",'Avance Cuantitativo Productos'!I27&lt;&gt;"Anual")),0,'Avance Cuantitativo Productos'!F27)))))))</f>
        <v>0.05</v>
      </c>
      <c r="F26" s="46" t="e" cm="1">
        <f t="array" aca="1" ref="F26" ca="1">+IF(AND(_xlfn.NUMBERVALUE($D$1)&gt;=YEAR('Avance Cuantitativo Productos'!J27),ISERROR('Avance Cuantitativo Productos'!M27)=TRUE,(OR(AND($D$2="Q1",MONTH('Avance Cuantitativo Productos'!J27)&lt;=3,OR('Avance Cuantitativo Productos'!I27="Mensual",'Avance Cuantitativo Productos'!I27="Bimestral",'Avance Cuantitativo Productos'!I27="Trimestral")),AND($D$2="Q2",MONTH('Avance Cuantitativo Productos'!J27)&lt;=6,OR('Avance Cuantitativo Productos'!I27="Mensual",'Avance Cuantitativo Productos'!I27="Bimestral",'Avance Cuantitativo Productos'!I27="Trimestral",'Avance Cuantitativo Productos'!I27="Semestral")),AND($D$2="Q3",MONTH('Avance Cuantitativo Productos'!J27)&lt;=9,OR('Avance Cuantitativo Productos'!I27="Mensual",'Avance Cuantitativo Productos'!I27="Bimestral",'Avance Cuantitativo Productos'!I27="Trimestral",'Avance Cuantitativo Productos'!I27="Semestral")),AND($D$2="Q4",MONTH('Avance Cuantitativo Productos'!J27)&lt;=12,OR('Avance Cuantitativo Productos'!I27="Mensual",'Avance Cuantitativo Productos'!I27="Bimestral",'Avance Cuantitativo Productos'!I27="Trimestral",'Avance Cuantitativo Productos'!I27="Semestral",'Avance Cuantitativo Productos'!I27="Anual"))))),0,_xlfn.XLOOKUP($D$1,TRANSPOSE(Anios_Reporte[Año de Reporte]),_xlfn.XLOOKUP(Panel_Control[[#This Row],[Producto '#]],Info_Productos_Cuantitativo[Producto No.],Avance_en_Vigencia_Productos[])))</f>
        <v>#NAME?</v>
      </c>
      <c r="G26" s="17" t="e">
        <f ca="1">+IF(AND($D$1=YEAR('Avance Cuantitativo Productos'!J27),'Panel de Control PRODUCTOS'!$D$2="Q1",OR('Avance Cuantitativo Productos'!I27="Mensual",'Avance Cuantitativo Productos'!I27="Bimestral",'Avance Cuantitativo Productos'!I27="Trimestral"),MONTH('Avance Cuantitativo Productos'!J27)&lt;=3,SUM(OFFSET('Avance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PRODUCTOS'!$D$2="Q2",MONTH('Avance Cuantitativo Productos'!J27)&lt;=6,OR('Avance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PRODUCTOS'!$D$2="Q3",MONTH('Avance Cuantitativo Productos'!J27)&lt;=9,OR('Avance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PRODUCTOS'!$D$2="Q4",MONTH('Avance Cuantitativo Productos'!J27)&lt;=12,OR('Avance Cuantitativo Productos'!I27="Mensual",'Avance Cuantitativo Productos'!I27="Bimestral",'Avance Cuantitativo Productos'!I27="Trimestral",'Avance Cuantitativo Productos'!I27="Semestral",'Avance Cuantitativo Productos'!I27="Anual"),SUM(OFFSET('Avance Cuantitativo Productos'!N27,0,0,1,IF($D$2="Q1",_xlfn.XMATCH($D$1,'Avance Cuantitativo Productos'!$N$4:$AS$4,0),IF($D$2="Q2",_xlfn.XMATCH($D$1,'Avance Cuantitativo Productos'!$N$4:$AS$4,0)+1,IF($D$2="Q3",_xlfn.XMATCH($D$1,'Avance Cuantitativo Productos'!$N$4:$AS$4,0)+2,IF($D$2="Q4",_xlfn.XMATCH($D$1,'Avance Cuantitativo Productos'!$N$4:$AS$4,0)+3)))))))=0,"Rojo",IF(F26&gt;=0.75,"Verde",IF(AND(F26&lt;0.75,F26&gt;=0.5),"Amarillo",IF(F26&lt;0.5,"Rojo","ERROR")))))))</f>
        <v>#NAME?</v>
      </c>
      <c r="H26" s="46" t="e" cm="1">
        <f t="array" aca="1" ref="H26" ca="1">+IF(AND(_xlfn.NUMBERVALUE($D$1)&gt;=YEAR('Avance Cuantitativo Productos'!J27),ISERROR('Avance Cuantitativo Productos'!M27)=TRUE,(OR(AND($D$2="Q1",MONTH('Avance Cuantitativo Productos'!J27)&lt;=3,OR('Avance Cuantitativo Productos'!I27="Mensual",'Avance Cuantitativo Productos'!I27="Bimestral",'Avance Cuantitativo Productos'!I27="Trimestral")),AND($D$2="Q2",MONTH('Avance Cuantitativo Productos'!J27)&lt;=6,OR('Avance Cuantitativo Productos'!I27="Mensual",'Avance Cuantitativo Productos'!I27="Bimestral",'Avance Cuantitativo Productos'!I27="Trimestral",'Avance Cuantitativo Productos'!I27="Semestral")),AND($D$2="Q3",MONTH('Avance Cuantitativo Productos'!J27)&lt;=9,OR('Avance Cuantitativo Productos'!I27="Mensual",'Avance Cuantitativo Productos'!I27="Bimestral",'Avance Cuantitativo Productos'!I27="Trimestral",'Avance Cuantitativo Productos'!I27="Semestral")),AND($D$2="Q4",MONTH('Avance Cuantitativo Productos'!J27)&lt;=12,OR('Avance Cuantitativo Productos'!I27="Mensual",'Avance Cuantitativo Productos'!I27="Bimestral",'Avance Cuantitativo Productos'!I27="Trimestral",'Avance Cuantitativo Productos'!I27="Semestral",'Avance Cuantitativo Productos'!I27="Anual"))))),0,_xlfn.XLOOKUP($D$1,TRANSPOSE(Anios_Reporte[Año de Reporte]),_xlfn.XLOOKUP(Panel_Control[[#This Row],[Producto '#]],Info_Productos_Cuantitativo[Producto No.],Avance_Hasta_Vigencia_Productos[])))</f>
        <v>#NAME?</v>
      </c>
      <c r="I26" s="16" t="e">
        <f ca="1">+IF(AND($D$1=YEAR('Avance Cuantitativo Productos'!J27),'Panel de Control PRODUCTOS'!$D$2="Q1",MONTH('Avance Cuantitativo Productos'!J27)&lt;=3,OR('Avance Cuantitativo Productos'!I27="Mensual",'Avance Cuantitativo Productos'!I27="Bimestral",'Avance Cuantitativo Productos'!I27="Trimestral"),SUM(OFFSET('Avance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PRODUCTOS'!$D$2="Q2",MONTH('Avance Cuantitativo Productos'!J27)&lt;=6,OR('Avance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PRODUCTOS'!$D$2="Q3",MONTH('Avance Cuantitativo Productos'!J27)&lt;=9,OR('Avance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PRODUCTOS'!$D$2="Q4",MONTH('Avance Cuantitativo Productos'!J27)&lt;=12,OR('Avance Cuantitativo Productos'!I27="Mensual",'Avance Cuantitativo Productos'!I27="Bimestral",'Avance Cuantitativo Productos'!I27="Trimestral",'Avance Cuantitativo Productos'!I27="Semestral",'Avance Cuantitativo Productos'!I27="Anual"),SUM(OFFSET('Avance Cuantitativo Productos'!N27,0,0,1,IF($D$2="Q1",_xlfn.XMATCH($D$1,'Avance Cuantitativo Productos'!$N$4:$AS$4,0),IF($D$2="Q2",_xlfn.XMATCH($D$1,'Avance Cuantitativo Productos'!$N$4:$AS$4,0)+1,IF($D$2="Q3",_xlfn.XMATCH($D$1,'Avance Cuantitativo Productos'!$N$4:$AS$4,0)+2,IF($D$2="Q4",_xlfn.XMATCH($D$1,'Avance Cuantitativo Productos'!$N$4:$AS$4,0)+3))))))=0),"Rojo",IF(AND(YEAR('Avance Cuantitativo Productos'!J27)&lt;$D$1,ISERROR('Avance Cuantitativo Productos'!M27)=TRUE),"Rojo",IF(AND(YEAR('Avance Cuantitativo Productos'!J27)&gt;$D$1,ISERROR('Avance Cuantitativo Productos'!M27)=TRUE),"Verde",IF(H26&gt;=0.75,"Verde",IF(AND(H26&lt;0.75,H26&gt;=0.5),"Amarillo",IF(H26&lt;0.5,"Rojo")))))))))</f>
        <v>#NAME?</v>
      </c>
      <c r="J26" s="46" t="e" cm="1">
        <f t="array" aca="1" ref="J26" ca="1">+IF(AND(_xlfn.NUMBERVALUE($D$1)&gt;=YEAR('Avance Cuantitativo Productos'!J27),ISERROR('Avance Cuantitativo Productos'!M27)=TRUE,(OR(AND($D$2="Q1",MONTH('Avance Cuantitativo Productos'!J27)&lt;=3,OR('Avance Cuantitativo Productos'!I27="Mensual",'Avance Cuantitativo Productos'!I27="Bimestral",'Avance Cuantitativo Productos'!I27="Trimestral")),AND($D$2="Q2",MONTH('Avance Cuantitativo Productos'!J27)&lt;=6,OR('Avance Cuantitativo Productos'!I27="Mensual",'Avance Cuantitativo Productos'!I27="Bimestral",'Avance Cuantitativo Productos'!I27="Trimestral",'Avance Cuantitativo Productos'!I27="Semestral")),AND($D$2="Q3",MONTH('Avance Cuantitativo Productos'!J27)&lt;=9,OR('Avance Cuantitativo Productos'!I27="Mensual",'Avance Cuantitativo Productos'!I27="Bimestral",'Avance Cuantitativo Productos'!I27="Trimestral",'Avance Cuantitativo Productos'!I27="Semestral")),AND($D$2="Q4",MONTH('Avance Cuantitativo Productos'!J27)&lt;=12,OR('Avance Cuantitativo Productos'!I27="Mensual",'Avance Cuantitativo Productos'!I27="Bimestral",'Avance Cuantitativo Productos'!I27="Trimestral",'Avance Cuantitativo Productos'!I27="Semestral",'Avance Cuantitativo Productos'!I27="Anual"))))),0,_xlfn.XLOOKUP($D$1,TRANSPOSE(Anios_Reporte[Año de Reporte]),_xlfn.XLOOKUP(Panel_Control[[#This Row],[Producto '#]],Info_Productos_Cuantitativo[Producto No.],Avance_Acumulado_Productos[])))</f>
        <v>#NAME?</v>
      </c>
      <c r="K26" s="17" t="e">
        <f ca="1">+IF(AND($D$1=YEAR('Avance Cuantitativo Productos'!J27),'Panel de Control PRODUCTOS'!$D$2="Q1",MONTH('Avance Cuantitativo Productos'!J27)&lt;=3,OR('Avance Cuantitativo Productos'!I27="Mensual",'Avance Cuantitativo Productos'!I27="Bimestral",'Avance Cuantitativo Productos'!I27="Trimestral"),SUM(OFFSET('Avance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PRODUCTOS'!$D$2="Q2",MONTH('Avance Cuantitativo Productos'!J27)&lt;=6,OR('Avance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PRODUCTOS'!$D$2="Q3",MONTH('Avance Cuantitativo Productos'!J27)&lt;=9,OR('Avance Cuantitativo Productos'!I27="Mensual",'Avance Cuantitativo Productos'!I27="Bimestral",'Avance Cuantitativo Productos'!I27="Trimestral",'Avance Cuantitativo Productos'!I27="Semestral"),SUM(OFFSET('Avance Cuantitativo Productos'!N27,0,0,1,IF($D$2="Q1",_xlfn.XMATCH($D$1,'Avance Cuantitativo Productos'!$N$4:$AS$4,0),IF($D$2="Q2",_xlfn.XMATCH($D$1,'Avance Cuantitativo Productos'!$N$4:$AS$4,0)+1,IF($D$2="Q3",_xlfn.XMATCH($D$1,'Avance Cuantitativo Productos'!$N$4:$AS$4,0)+2,IF($D$2="Q4",_xlfn.XMATCH($D$1,'Avance Cuantitativo Productos'!$N$4:$AS$4,0)+3))))))=0),"Rojo",IF(AND($D$1=YEAR('Avance Cuantitativo Productos'!J27),'Panel de Control PRODUCTOS'!$D$2="Q4",MONTH('Avance Cuantitativo Productos'!J27)&lt;=12,OR('Avance Cuantitativo Productos'!I27="Mensual",'Avance Cuantitativo Productos'!I27="Bimestral",'Avance Cuantitativo Productos'!I27="Trimestral",'Avance Cuantitativo Productos'!I27="Semestral",'Avance Cuantitativo Productos'!I27="Anual"),SUM(OFFSET('Avance Cuantitativo Productos'!N27,0,0,1,IF($D$2="Q1",_xlfn.XMATCH($D$1,'Avance Cuantitativo Productos'!$N$4:$AS$4,0),IF($D$2="Q2",_xlfn.XMATCH($D$1,'Avance Cuantitativo Productos'!$N$4:$AS$4,0)+1,IF($D$2="Q3",_xlfn.XMATCH($D$1,'Avance Cuantitativo Productos'!$N$4:$AS$4,0)+2,IF($D$2="Q4",_xlfn.XMATCH($D$1,'Avance Cuantitativo Productos'!$N$4:$AS$4,0)+3))))))=0),"Rojo",IF(AND(YEAR('Avance Cuantitativo Productos'!J27)&lt;$D$1,ISERROR('Avance Cuantitativo Productos'!M27)=TRUE),"Rojo",IF(AND(YEAR('Avance Cuantitativo Productos'!J27)&gt;$D$1,ISERROR('Avance Cuantitativo Productos'!M27)=TRUE),"Verde",IF(J26&gt;=0.75,"Verde",IF(AND(J26&lt;0.75,J26&gt;=0.5),"Amarillo",IF(J26&lt;0.5,"Rojo")))))))))</f>
        <v>#NAME?</v>
      </c>
      <c r="L26" s="46" t="e">
        <f t="shared" ca="1" si="0"/>
        <v>#NAME?</v>
      </c>
      <c r="M26" s="26" t="e">
        <f ca="1">+IF(Panel_Control[[#This Row],[PAV. Ajustado (100%)]]="","",Panel_Control[[#This Row],[PAV. Ajustado (100%)]]*Panel_Control[[#This Row],[Ponderación relativa del Producto (%)]])</f>
        <v>#NAME?</v>
      </c>
      <c r="N26" s="46" t="e">
        <f t="shared" ca="1" si="1"/>
        <v>#NAME?</v>
      </c>
      <c r="O26" s="26" t="e">
        <f ca="1">+IF(Panel_Control[[#This Row],[Porcentaje de Avance Hasta la Vigencia (100%)]]="","",Panel_Control[[#This Row],[Porcentaje de Avance Hasta la Vigencia (100%)]]*Panel_Control[[#This Row],[Ponderación relativa del Producto (%)]])</f>
        <v>#NAME?</v>
      </c>
      <c r="P26" s="46" t="e">
        <f t="shared" ca="1" si="2"/>
        <v>#NAME?</v>
      </c>
      <c r="Q26" s="26" t="e">
        <f ca="1">+IF(Panel_Control[[#This Row],[PAA. (100%)]]="","",Panel_Control[[#This Row],[PAA. (100%)]]*Panel_Control[[#This Row],[Ponderación relativa del Producto (%)]])</f>
        <v>#NAME?</v>
      </c>
      <c r="R26" s="47" cm="1">
        <f t="array" ref="R26">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0.75</v>
      </c>
      <c r="S26" s="26">
        <f>+Panel_Control[[#This Row],[Trayectoria Acumulada (Avance ideal)]]*Panel_Control[[#This Row],[Ponderación relativa del Producto (%)]]</f>
        <v>3.7500000000000006E-2</v>
      </c>
    </row>
    <row r="27" spans="1:19" ht="28.8" x14ac:dyDescent="0.3">
      <c r="A27" s="16">
        <f>+'Avance Cuantitativo Productos'!A28</f>
        <v>23</v>
      </c>
      <c r="B27" s="16" t="str">
        <f>+'Avance Cuantitativo Productos'!B28</f>
        <v>4.</v>
      </c>
      <c r="C27" s="44" t="str">
        <f>+'Avance Cuantitativo Productos'!C28</f>
        <v xml:space="preserve">4.1.2. Divulgaciòn de actividades deportivas, recreativas, actividad fìsica, parques y escenarios </v>
      </c>
      <c r="D27" s="44" t="str">
        <f>+'Avance Cuantitativo Productos'!E28</f>
        <v xml:space="preserve">Cultura, Recreación y Deporte </v>
      </c>
      <c r="E27" s="45">
        <f>IF(ISNA('Avance Cuantitativo Productos'!M28)=FALSE,'Avance Cuantitativo Productos'!F28,IF($D$1&gt;YEAR('Avance Cuantitativo Productos'!J28),'Avance Cuantitativo Productos'!F28,IF($D$1&lt;YEAR('Avance Cuantitativo Productos'!J28),0,IF(AND($D$1=YEAR('Avance Cuantitativo Productos'!J28),$D$2="Q1",OR('Avance Cuantitativo Productos'!I28&lt;&gt;"Mensual",'Avance Cuantitativo Productos'!I28&lt;&gt;"Bimestral",'Avance Cuantitativo Productos'!I28&lt;&gt;"Trimestral")),0,IF(AND($D$1=YEAR('Avance Cuantitativo Productos'!J28),$D$2="Q2",OR('Avance Cuantitativo Productos'!I28&lt;&gt;"Mensual",'Avance Cuantitativo Productos'!I28&lt;&gt;"Bimestral",'Avance Cuantitativo Productos'!I28&lt;&gt;"Trimestral",'Avance Cuantitativo Productos'!I28&lt;&gt;"Semestral")),0,IF(AND($D$1=YEAR('Avance Cuantitativo Productos'!J28),$D$2="Q3",OR('Avance Cuantitativo Productos'!I28&lt;&gt;"Mensual",'Avance Cuantitativo Productos'!I28&lt;&gt;"Bimestral",'Avance Cuantitativo Productos'!I28&lt;&gt;"Trimestral",'Avance Cuantitativo Productos'!I28&lt;&gt;"Semestral")),0,IF(AND($D$1=YEAR('Avance Cuantitativo Productos'!J28),$D$2="Q4",OR('Avance Cuantitativo Productos'!I28&lt;&gt;"Mensual",'Avance Cuantitativo Productos'!I28&lt;&gt;"Bimestral",'Avance Cuantitativo Productos'!I28&lt;&gt;"Trimestral",'Avance Cuantitativo Productos'!I28&lt;&gt;"Semestral",'Avance Cuantitativo Productos'!I28&lt;&gt;"Anual")),0,'Avance Cuantitativo Productos'!F28)))))))</f>
        <v>0.05</v>
      </c>
      <c r="F27" s="46" t="e" cm="1">
        <f t="array" aca="1" ref="F27" ca="1">+IF(AND(_xlfn.NUMBERVALUE($D$1)&gt;=YEAR('Avance Cuantitativo Productos'!J28),ISERROR('Avance Cuantitativo Productos'!M28)=TRUE,(OR(AND($D$2="Q1",MONTH('Avance Cuantitativo Productos'!J28)&lt;=3,OR('Avance Cuantitativo Productos'!I28="Mensual",'Avance Cuantitativo Productos'!I28="Bimestral",'Avance Cuantitativo Productos'!I28="Trimestral")),AND($D$2="Q2",MONTH('Avance Cuantitativo Productos'!J28)&lt;=6,OR('Avance Cuantitativo Productos'!I28="Mensual",'Avance Cuantitativo Productos'!I28="Bimestral",'Avance Cuantitativo Productos'!I28="Trimestral",'Avance Cuantitativo Productos'!I28="Semestral")),AND($D$2="Q3",MONTH('Avance Cuantitativo Productos'!J28)&lt;=9,OR('Avance Cuantitativo Productos'!I28="Mensual",'Avance Cuantitativo Productos'!I28="Bimestral",'Avance Cuantitativo Productos'!I28="Trimestral",'Avance Cuantitativo Productos'!I28="Semestral")),AND($D$2="Q4",MONTH('Avance Cuantitativo Productos'!J28)&lt;=12,OR('Avance Cuantitativo Productos'!I28="Mensual",'Avance Cuantitativo Productos'!I28="Bimestral",'Avance Cuantitativo Productos'!I28="Trimestral",'Avance Cuantitativo Productos'!I28="Semestral",'Avance Cuantitativo Productos'!I28="Anual"))))),0,_xlfn.XLOOKUP($D$1,TRANSPOSE(Anios_Reporte[Año de Reporte]),_xlfn.XLOOKUP(Panel_Control[[#This Row],[Producto '#]],Info_Productos_Cuantitativo[Producto No.],Avance_en_Vigencia_Productos[])))</f>
        <v>#NAME?</v>
      </c>
      <c r="G27" s="17" t="e">
        <f ca="1">+IF(AND($D$1=YEAR('Avance Cuantitativo Productos'!J28),'Panel de Control PRODUCTOS'!$D$2="Q1",OR('Avance Cuantitativo Productos'!I28="Mensual",'Avance Cuantitativo Productos'!I28="Bimestral",'Avance Cuantitativo Productos'!I28="Trimestral"),MONTH('Avance Cuantitativo Productos'!J28)&lt;=3,SUM(OFFSET('Avance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PRODUCTOS'!$D$2="Q2",MONTH('Avance Cuantitativo Productos'!J28)&lt;=6,OR('Avance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PRODUCTOS'!$D$2="Q3",MONTH('Avance Cuantitativo Productos'!J28)&lt;=9,OR('Avance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PRODUCTOS'!$D$2="Q4",MONTH('Avance Cuantitativo Productos'!J28)&lt;=12,OR('Avance Cuantitativo Productos'!I28="Mensual",'Avance Cuantitativo Productos'!I28="Bimestral",'Avance Cuantitativo Productos'!I28="Trimestral",'Avance Cuantitativo Productos'!I28="Semestral",'Avance Cuantitativo Productos'!I28="Anual"),SUM(OFFSET('Avance Cuantitativo Productos'!N28,0,0,1,IF($D$2="Q1",_xlfn.XMATCH($D$1,'Avance Cuantitativo Productos'!$N$4:$AS$4,0),IF($D$2="Q2",_xlfn.XMATCH($D$1,'Avance Cuantitativo Productos'!$N$4:$AS$4,0)+1,IF($D$2="Q3",_xlfn.XMATCH($D$1,'Avance Cuantitativo Productos'!$N$4:$AS$4,0)+2,IF($D$2="Q4",_xlfn.XMATCH($D$1,'Avance Cuantitativo Productos'!$N$4:$AS$4,0)+3)))))))=0,"Rojo",IF(F27&gt;=0.75,"Verde",IF(AND(F27&lt;0.75,F27&gt;=0.5),"Amarillo",IF(F27&lt;0.5,"Rojo","ERROR")))))))</f>
        <v>#NAME?</v>
      </c>
      <c r="H27" s="46" t="e" cm="1">
        <f t="array" aca="1" ref="H27" ca="1">+IF(AND(_xlfn.NUMBERVALUE($D$1)&gt;=YEAR('Avance Cuantitativo Productos'!J28),ISERROR('Avance Cuantitativo Productos'!M28)=TRUE,(OR(AND($D$2="Q1",MONTH('Avance Cuantitativo Productos'!J28)&lt;=3,OR('Avance Cuantitativo Productos'!I28="Mensual",'Avance Cuantitativo Productos'!I28="Bimestral",'Avance Cuantitativo Productos'!I28="Trimestral")),AND($D$2="Q2",MONTH('Avance Cuantitativo Productos'!J28)&lt;=6,OR('Avance Cuantitativo Productos'!I28="Mensual",'Avance Cuantitativo Productos'!I28="Bimestral",'Avance Cuantitativo Productos'!I28="Trimestral",'Avance Cuantitativo Productos'!I28="Semestral")),AND($D$2="Q3",MONTH('Avance Cuantitativo Productos'!J28)&lt;=9,OR('Avance Cuantitativo Productos'!I28="Mensual",'Avance Cuantitativo Productos'!I28="Bimestral",'Avance Cuantitativo Productos'!I28="Trimestral",'Avance Cuantitativo Productos'!I28="Semestral")),AND($D$2="Q4",MONTH('Avance Cuantitativo Productos'!J28)&lt;=12,OR('Avance Cuantitativo Productos'!I28="Mensual",'Avance Cuantitativo Productos'!I28="Bimestral",'Avance Cuantitativo Productos'!I28="Trimestral",'Avance Cuantitativo Productos'!I28="Semestral",'Avance Cuantitativo Productos'!I28="Anual"))))),0,_xlfn.XLOOKUP($D$1,TRANSPOSE(Anios_Reporte[Año de Reporte]),_xlfn.XLOOKUP(Panel_Control[[#This Row],[Producto '#]],Info_Productos_Cuantitativo[Producto No.],Avance_Hasta_Vigencia_Productos[])))</f>
        <v>#NAME?</v>
      </c>
      <c r="I27" s="16" t="e">
        <f ca="1">+IF(AND($D$1=YEAR('Avance Cuantitativo Productos'!J28),'Panel de Control PRODUCTOS'!$D$2="Q1",MONTH('Avance Cuantitativo Productos'!J28)&lt;=3,OR('Avance Cuantitativo Productos'!I28="Mensual",'Avance Cuantitativo Productos'!I28="Bimestral",'Avance Cuantitativo Productos'!I28="Trimestral"),SUM(OFFSET('Avance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PRODUCTOS'!$D$2="Q2",MONTH('Avance Cuantitativo Productos'!J28)&lt;=6,OR('Avance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PRODUCTOS'!$D$2="Q3",MONTH('Avance Cuantitativo Productos'!J28)&lt;=9,OR('Avance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PRODUCTOS'!$D$2="Q4",MONTH('Avance Cuantitativo Productos'!J28)&lt;=12,OR('Avance Cuantitativo Productos'!I28="Mensual",'Avance Cuantitativo Productos'!I28="Bimestral",'Avance Cuantitativo Productos'!I28="Trimestral",'Avance Cuantitativo Productos'!I28="Semestral",'Avance Cuantitativo Productos'!I28="Anual"),SUM(OFFSET('Avance Cuantitativo Productos'!N28,0,0,1,IF($D$2="Q1",_xlfn.XMATCH($D$1,'Avance Cuantitativo Productos'!$N$4:$AS$4,0),IF($D$2="Q2",_xlfn.XMATCH($D$1,'Avance Cuantitativo Productos'!$N$4:$AS$4,0)+1,IF($D$2="Q3",_xlfn.XMATCH($D$1,'Avance Cuantitativo Productos'!$N$4:$AS$4,0)+2,IF($D$2="Q4",_xlfn.XMATCH($D$1,'Avance Cuantitativo Productos'!$N$4:$AS$4,0)+3))))))=0),"Rojo",IF(AND(YEAR('Avance Cuantitativo Productos'!J28)&lt;$D$1,ISERROR('Avance Cuantitativo Productos'!M28)=TRUE),"Rojo",IF(AND(YEAR('Avance Cuantitativo Productos'!J28)&gt;$D$1,ISERROR('Avance Cuantitativo Productos'!M28)=TRUE),"Verde",IF(H27&gt;=0.75,"Verde",IF(AND(H27&lt;0.75,H27&gt;=0.5),"Amarillo",IF(H27&lt;0.5,"Rojo")))))))))</f>
        <v>#NAME?</v>
      </c>
      <c r="J27" s="46" t="e" cm="1">
        <f t="array" aca="1" ref="J27" ca="1">+IF(AND(_xlfn.NUMBERVALUE($D$1)&gt;=YEAR('Avance Cuantitativo Productos'!J28),ISERROR('Avance Cuantitativo Productos'!M28)=TRUE,(OR(AND($D$2="Q1",MONTH('Avance Cuantitativo Productos'!J28)&lt;=3,OR('Avance Cuantitativo Productos'!I28="Mensual",'Avance Cuantitativo Productos'!I28="Bimestral",'Avance Cuantitativo Productos'!I28="Trimestral")),AND($D$2="Q2",MONTH('Avance Cuantitativo Productos'!J28)&lt;=6,OR('Avance Cuantitativo Productos'!I28="Mensual",'Avance Cuantitativo Productos'!I28="Bimestral",'Avance Cuantitativo Productos'!I28="Trimestral",'Avance Cuantitativo Productos'!I28="Semestral")),AND($D$2="Q3",MONTH('Avance Cuantitativo Productos'!J28)&lt;=9,OR('Avance Cuantitativo Productos'!I28="Mensual",'Avance Cuantitativo Productos'!I28="Bimestral",'Avance Cuantitativo Productos'!I28="Trimestral",'Avance Cuantitativo Productos'!I28="Semestral")),AND($D$2="Q4",MONTH('Avance Cuantitativo Productos'!J28)&lt;=12,OR('Avance Cuantitativo Productos'!I28="Mensual",'Avance Cuantitativo Productos'!I28="Bimestral",'Avance Cuantitativo Productos'!I28="Trimestral",'Avance Cuantitativo Productos'!I28="Semestral",'Avance Cuantitativo Productos'!I28="Anual"))))),0,_xlfn.XLOOKUP($D$1,TRANSPOSE(Anios_Reporte[Año de Reporte]),_xlfn.XLOOKUP(Panel_Control[[#This Row],[Producto '#]],Info_Productos_Cuantitativo[Producto No.],Avance_Acumulado_Productos[])))</f>
        <v>#NAME?</v>
      </c>
      <c r="K27" s="17" t="e">
        <f ca="1">+IF(AND($D$1=YEAR('Avance Cuantitativo Productos'!J28),'Panel de Control PRODUCTOS'!$D$2="Q1",MONTH('Avance Cuantitativo Productos'!J28)&lt;=3,OR('Avance Cuantitativo Productos'!I28="Mensual",'Avance Cuantitativo Productos'!I28="Bimestral",'Avance Cuantitativo Productos'!I28="Trimestral"),SUM(OFFSET('Avance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PRODUCTOS'!$D$2="Q2",MONTH('Avance Cuantitativo Productos'!J28)&lt;=6,OR('Avance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PRODUCTOS'!$D$2="Q3",MONTH('Avance Cuantitativo Productos'!J28)&lt;=9,OR('Avance Cuantitativo Productos'!I28="Mensual",'Avance Cuantitativo Productos'!I28="Bimestral",'Avance Cuantitativo Productos'!I28="Trimestral",'Avance Cuantitativo Productos'!I28="Semestral"),SUM(OFFSET('Avance Cuantitativo Productos'!N28,0,0,1,IF($D$2="Q1",_xlfn.XMATCH($D$1,'Avance Cuantitativo Productos'!$N$4:$AS$4,0),IF($D$2="Q2",_xlfn.XMATCH($D$1,'Avance Cuantitativo Productos'!$N$4:$AS$4,0)+1,IF($D$2="Q3",_xlfn.XMATCH($D$1,'Avance Cuantitativo Productos'!$N$4:$AS$4,0)+2,IF($D$2="Q4",_xlfn.XMATCH($D$1,'Avance Cuantitativo Productos'!$N$4:$AS$4,0)+3))))))=0),"Rojo",IF(AND($D$1=YEAR('Avance Cuantitativo Productos'!J28),'Panel de Control PRODUCTOS'!$D$2="Q4",MONTH('Avance Cuantitativo Productos'!J28)&lt;=12,OR('Avance Cuantitativo Productos'!I28="Mensual",'Avance Cuantitativo Productos'!I28="Bimestral",'Avance Cuantitativo Productos'!I28="Trimestral",'Avance Cuantitativo Productos'!I28="Semestral",'Avance Cuantitativo Productos'!I28="Anual"),SUM(OFFSET('Avance Cuantitativo Productos'!N28,0,0,1,IF($D$2="Q1",_xlfn.XMATCH($D$1,'Avance Cuantitativo Productos'!$N$4:$AS$4,0),IF($D$2="Q2",_xlfn.XMATCH($D$1,'Avance Cuantitativo Productos'!$N$4:$AS$4,0)+1,IF($D$2="Q3",_xlfn.XMATCH($D$1,'Avance Cuantitativo Productos'!$N$4:$AS$4,0)+2,IF($D$2="Q4",_xlfn.XMATCH($D$1,'Avance Cuantitativo Productos'!$N$4:$AS$4,0)+3))))))=0),"Rojo",IF(AND(YEAR('Avance Cuantitativo Productos'!J28)&lt;$D$1,ISERROR('Avance Cuantitativo Productos'!M28)=TRUE),"Rojo",IF(AND(YEAR('Avance Cuantitativo Productos'!J28)&gt;$D$1,ISERROR('Avance Cuantitativo Productos'!M28)=TRUE),"Verde",IF(J27&gt;=0.75,"Verde",IF(AND(J27&lt;0.75,J27&gt;=0.5),"Amarillo",IF(J27&lt;0.5,"Rojo")))))))))</f>
        <v>#NAME?</v>
      </c>
      <c r="L27" s="46" t="e">
        <f t="shared" ca="1" si="0"/>
        <v>#NAME?</v>
      </c>
      <c r="M27" s="26" t="e">
        <f ca="1">+IF(Panel_Control[[#This Row],[PAV. Ajustado (100%)]]="","",Panel_Control[[#This Row],[PAV. Ajustado (100%)]]*Panel_Control[[#This Row],[Ponderación relativa del Producto (%)]])</f>
        <v>#NAME?</v>
      </c>
      <c r="N27" s="46" t="e">
        <f t="shared" ca="1" si="1"/>
        <v>#NAME?</v>
      </c>
      <c r="O27" s="26" t="e">
        <f ca="1">+IF(Panel_Control[[#This Row],[Porcentaje de Avance Hasta la Vigencia (100%)]]="","",Panel_Control[[#This Row],[Porcentaje de Avance Hasta la Vigencia (100%)]]*Panel_Control[[#This Row],[Ponderación relativa del Producto (%)]])</f>
        <v>#NAME?</v>
      </c>
      <c r="P27" s="46" t="e">
        <f t="shared" ca="1" si="2"/>
        <v>#NAME?</v>
      </c>
      <c r="Q27" s="26" t="e">
        <f ca="1">+IF(Panel_Control[[#This Row],[PAA. (100%)]]="","",Panel_Control[[#This Row],[PAA. (100%)]]*Panel_Control[[#This Row],[Ponderación relativa del Producto (%)]])</f>
        <v>#NAME?</v>
      </c>
      <c r="R27" s="47" cm="1">
        <f t="array" ref="R27">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v>
      </c>
      <c r="S27" s="26">
        <f>+Panel_Control[[#This Row],[Trayectoria Acumulada (Avance ideal)]]*Panel_Control[[#This Row],[Ponderación relativa del Producto (%)]]</f>
        <v>1.0000000000000002E-2</v>
      </c>
    </row>
    <row r="28" spans="1:19" ht="57.6" x14ac:dyDescent="0.3">
      <c r="A28" s="16">
        <f>+'Avance Cuantitativo Productos'!A29</f>
        <v>24</v>
      </c>
      <c r="B28" s="16" t="str">
        <f>+'Avance Cuantitativo Productos'!B29</f>
        <v>4.</v>
      </c>
      <c r="C28" s="44" t="str">
        <f>+'Avance Cuantitativo Productos'!C29</f>
        <v>4.1.3. Mecanismo para la difusión de la oferta de las localidades relacionada con programas deportivos, recreativos y de actividad física implementados para las diferentes poblaciones, en los espacios priorizados.</v>
      </c>
      <c r="D28" s="44" t="str">
        <f>+'Avance Cuantitativo Productos'!E29</f>
        <v>Gobierno</v>
      </c>
      <c r="E28" s="45">
        <f>IF(ISNA('Avance Cuantitativo Productos'!M29)=FALSE,'Avance Cuantitativo Productos'!F29,IF($D$1&gt;YEAR('Avance Cuantitativo Productos'!J29),'Avance Cuantitativo Productos'!F29,IF($D$1&lt;YEAR('Avance Cuantitativo Productos'!J29),0,IF(AND($D$1=YEAR('Avance Cuantitativo Productos'!J29),$D$2="Q1",OR('Avance Cuantitativo Productos'!I29&lt;&gt;"Mensual",'Avance Cuantitativo Productos'!I29&lt;&gt;"Bimestral",'Avance Cuantitativo Productos'!I29&lt;&gt;"Trimestral")),0,IF(AND($D$1=YEAR('Avance Cuantitativo Productos'!J29),$D$2="Q2",OR('Avance Cuantitativo Productos'!I29&lt;&gt;"Mensual",'Avance Cuantitativo Productos'!I29&lt;&gt;"Bimestral",'Avance Cuantitativo Productos'!I29&lt;&gt;"Trimestral",'Avance Cuantitativo Productos'!I29&lt;&gt;"Semestral")),0,IF(AND($D$1=YEAR('Avance Cuantitativo Productos'!J29),$D$2="Q3",OR('Avance Cuantitativo Productos'!I29&lt;&gt;"Mensual",'Avance Cuantitativo Productos'!I29&lt;&gt;"Bimestral",'Avance Cuantitativo Productos'!I29&lt;&gt;"Trimestral",'Avance Cuantitativo Productos'!I29&lt;&gt;"Semestral")),0,IF(AND($D$1=YEAR('Avance Cuantitativo Productos'!J29),$D$2="Q4",OR('Avance Cuantitativo Productos'!I29&lt;&gt;"Mensual",'Avance Cuantitativo Productos'!I29&lt;&gt;"Bimestral",'Avance Cuantitativo Productos'!I29&lt;&gt;"Trimestral",'Avance Cuantitativo Productos'!I29&lt;&gt;"Semestral",'Avance Cuantitativo Productos'!I29&lt;&gt;"Anual")),0,'Avance Cuantitativo Productos'!F29)))))))</f>
        <v>0.03</v>
      </c>
      <c r="F28" s="46" t="e" cm="1">
        <f t="array" aca="1" ref="F28" ca="1">+IF(AND(_xlfn.NUMBERVALUE($D$1)&gt;=YEAR('Avance Cuantitativo Productos'!J29),ISERROR('Avance Cuantitativo Productos'!M29)=TRUE,(OR(AND($D$2="Q1",MONTH('Avance Cuantitativo Productos'!J29)&lt;=3,OR('Avance Cuantitativo Productos'!I29="Mensual",'Avance Cuantitativo Productos'!I29="Bimestral",'Avance Cuantitativo Productos'!I29="Trimestral")),AND($D$2="Q2",MONTH('Avance Cuantitativo Productos'!J29)&lt;=6,OR('Avance Cuantitativo Productos'!I29="Mensual",'Avance Cuantitativo Productos'!I29="Bimestral",'Avance Cuantitativo Productos'!I29="Trimestral",'Avance Cuantitativo Productos'!I29="Semestral")),AND($D$2="Q3",MONTH('Avance Cuantitativo Productos'!J29)&lt;=9,OR('Avance Cuantitativo Productos'!I29="Mensual",'Avance Cuantitativo Productos'!I29="Bimestral",'Avance Cuantitativo Productos'!I29="Trimestral",'Avance Cuantitativo Productos'!I29="Semestral")),AND($D$2="Q4",MONTH('Avance Cuantitativo Productos'!J29)&lt;=12,OR('Avance Cuantitativo Productos'!I29="Mensual",'Avance Cuantitativo Productos'!I29="Bimestral",'Avance Cuantitativo Productos'!I29="Trimestral",'Avance Cuantitativo Productos'!I29="Semestral",'Avance Cuantitativo Productos'!I29="Anual"))))),0,_xlfn.XLOOKUP($D$1,TRANSPOSE(Anios_Reporte[Año de Reporte]),_xlfn.XLOOKUP(Panel_Control[[#This Row],[Producto '#]],Info_Productos_Cuantitativo[Producto No.],Avance_en_Vigencia_Productos[])))</f>
        <v>#NAME?</v>
      </c>
      <c r="G28" s="17" t="e">
        <f ca="1">+IF(AND($D$1=YEAR('Avance Cuantitativo Productos'!J29),'Panel de Control PRODUCTOS'!$D$2="Q1",OR('Avance Cuantitativo Productos'!I29="Mensual",'Avance Cuantitativo Productos'!I29="Bimestral",'Avance Cuantitativo Productos'!I29="Trimestral"),MONTH('Avance Cuantitativo Productos'!J29)&lt;=3,SUM(OFFSET('Avance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PRODUCTOS'!$D$2="Q2",MONTH('Avance Cuantitativo Productos'!J29)&lt;=6,OR('Avance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PRODUCTOS'!$D$2="Q3",MONTH('Avance Cuantitativo Productos'!J29)&lt;=9,OR('Avance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PRODUCTOS'!$D$2="Q4",MONTH('Avance Cuantitativo Productos'!J29)&lt;=12,OR('Avance Cuantitativo Productos'!I29="Mensual",'Avance Cuantitativo Productos'!I29="Bimestral",'Avance Cuantitativo Productos'!I29="Trimestral",'Avance Cuantitativo Productos'!I29="Semestral",'Avance Cuantitativo Productos'!I29="Anual"),SUM(OFFSET('Avance Cuantitativo Productos'!N29,0,0,1,IF($D$2="Q1",_xlfn.XMATCH($D$1,'Avance Cuantitativo Productos'!$N$4:$AS$4,0),IF($D$2="Q2",_xlfn.XMATCH($D$1,'Avance Cuantitativo Productos'!$N$4:$AS$4,0)+1,IF($D$2="Q3",_xlfn.XMATCH($D$1,'Avance Cuantitativo Productos'!$N$4:$AS$4,0)+2,IF($D$2="Q4",_xlfn.XMATCH($D$1,'Avance Cuantitativo Productos'!$N$4:$AS$4,0)+3)))))))=0,"Rojo",IF(F28&gt;=0.75,"Verde",IF(AND(F28&lt;0.75,F28&gt;=0.5),"Amarillo",IF(F28&lt;0.5,"Rojo","ERROR")))))))</f>
        <v>#NAME?</v>
      </c>
      <c r="H28" s="46" t="e" cm="1">
        <f t="array" aca="1" ref="H28" ca="1">+IF(AND(_xlfn.NUMBERVALUE($D$1)&gt;=YEAR('Avance Cuantitativo Productos'!J29),ISERROR('Avance Cuantitativo Productos'!M29)=TRUE,(OR(AND($D$2="Q1",MONTH('Avance Cuantitativo Productos'!J29)&lt;=3,OR('Avance Cuantitativo Productos'!I29="Mensual",'Avance Cuantitativo Productos'!I29="Bimestral",'Avance Cuantitativo Productos'!I29="Trimestral")),AND($D$2="Q2",MONTH('Avance Cuantitativo Productos'!J29)&lt;=6,OR('Avance Cuantitativo Productos'!I29="Mensual",'Avance Cuantitativo Productos'!I29="Bimestral",'Avance Cuantitativo Productos'!I29="Trimestral",'Avance Cuantitativo Productos'!I29="Semestral")),AND($D$2="Q3",MONTH('Avance Cuantitativo Productos'!J29)&lt;=9,OR('Avance Cuantitativo Productos'!I29="Mensual",'Avance Cuantitativo Productos'!I29="Bimestral",'Avance Cuantitativo Productos'!I29="Trimestral",'Avance Cuantitativo Productos'!I29="Semestral")),AND($D$2="Q4",MONTH('Avance Cuantitativo Productos'!J29)&lt;=12,OR('Avance Cuantitativo Productos'!I29="Mensual",'Avance Cuantitativo Productos'!I29="Bimestral",'Avance Cuantitativo Productos'!I29="Trimestral",'Avance Cuantitativo Productos'!I29="Semestral",'Avance Cuantitativo Productos'!I29="Anual"))))),0,_xlfn.XLOOKUP($D$1,TRANSPOSE(Anios_Reporte[Año de Reporte]),_xlfn.XLOOKUP(Panel_Control[[#This Row],[Producto '#]],Info_Productos_Cuantitativo[Producto No.],Avance_Hasta_Vigencia_Productos[])))</f>
        <v>#NAME?</v>
      </c>
      <c r="I28" s="16" t="e">
        <f ca="1">+IF(AND($D$1=YEAR('Avance Cuantitativo Productos'!J29),'Panel de Control PRODUCTOS'!$D$2="Q1",MONTH('Avance Cuantitativo Productos'!J29)&lt;=3,OR('Avance Cuantitativo Productos'!I29="Mensual",'Avance Cuantitativo Productos'!I29="Bimestral",'Avance Cuantitativo Productos'!I29="Trimestral"),SUM(OFFSET('Avance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PRODUCTOS'!$D$2="Q2",MONTH('Avance Cuantitativo Productos'!J29)&lt;=6,OR('Avance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PRODUCTOS'!$D$2="Q3",MONTH('Avance Cuantitativo Productos'!J29)&lt;=9,OR('Avance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PRODUCTOS'!$D$2="Q4",MONTH('Avance Cuantitativo Productos'!J29)&lt;=12,OR('Avance Cuantitativo Productos'!I29="Mensual",'Avance Cuantitativo Productos'!I29="Bimestral",'Avance Cuantitativo Productos'!I29="Trimestral",'Avance Cuantitativo Productos'!I29="Semestral",'Avance Cuantitativo Productos'!I29="Anual"),SUM(OFFSET('Avance Cuantitativo Productos'!N29,0,0,1,IF($D$2="Q1",_xlfn.XMATCH($D$1,'Avance Cuantitativo Productos'!$N$4:$AS$4,0),IF($D$2="Q2",_xlfn.XMATCH($D$1,'Avance Cuantitativo Productos'!$N$4:$AS$4,0)+1,IF($D$2="Q3",_xlfn.XMATCH($D$1,'Avance Cuantitativo Productos'!$N$4:$AS$4,0)+2,IF($D$2="Q4",_xlfn.XMATCH($D$1,'Avance Cuantitativo Productos'!$N$4:$AS$4,0)+3))))))=0),"Rojo",IF(AND(YEAR('Avance Cuantitativo Productos'!J29)&lt;$D$1,ISERROR('Avance Cuantitativo Productos'!M29)=TRUE),"Rojo",IF(AND(YEAR('Avance Cuantitativo Productos'!J29)&gt;$D$1,ISERROR('Avance Cuantitativo Productos'!M29)=TRUE),"Verde",IF(H28&gt;=0.75,"Verde",IF(AND(H28&lt;0.75,H28&gt;=0.5),"Amarillo",IF(H28&lt;0.5,"Rojo")))))))))</f>
        <v>#NAME?</v>
      </c>
      <c r="J28" s="46" t="e" cm="1">
        <f t="array" aca="1" ref="J28" ca="1">+IF(AND(_xlfn.NUMBERVALUE($D$1)&gt;=YEAR('Avance Cuantitativo Productos'!J29),ISERROR('Avance Cuantitativo Productos'!M29)=TRUE,(OR(AND($D$2="Q1",MONTH('Avance Cuantitativo Productos'!J29)&lt;=3,OR('Avance Cuantitativo Productos'!I29="Mensual",'Avance Cuantitativo Productos'!I29="Bimestral",'Avance Cuantitativo Productos'!I29="Trimestral")),AND($D$2="Q2",MONTH('Avance Cuantitativo Productos'!J29)&lt;=6,OR('Avance Cuantitativo Productos'!I29="Mensual",'Avance Cuantitativo Productos'!I29="Bimestral",'Avance Cuantitativo Productos'!I29="Trimestral",'Avance Cuantitativo Productos'!I29="Semestral")),AND($D$2="Q3",MONTH('Avance Cuantitativo Productos'!J29)&lt;=9,OR('Avance Cuantitativo Productos'!I29="Mensual",'Avance Cuantitativo Productos'!I29="Bimestral",'Avance Cuantitativo Productos'!I29="Trimestral",'Avance Cuantitativo Productos'!I29="Semestral")),AND($D$2="Q4",MONTH('Avance Cuantitativo Productos'!J29)&lt;=12,OR('Avance Cuantitativo Productos'!I29="Mensual",'Avance Cuantitativo Productos'!I29="Bimestral",'Avance Cuantitativo Productos'!I29="Trimestral",'Avance Cuantitativo Productos'!I29="Semestral",'Avance Cuantitativo Productos'!I29="Anual"))))),0,_xlfn.XLOOKUP($D$1,TRANSPOSE(Anios_Reporte[Año de Reporte]),_xlfn.XLOOKUP(Panel_Control[[#This Row],[Producto '#]],Info_Productos_Cuantitativo[Producto No.],Avance_Acumulado_Productos[])))</f>
        <v>#NAME?</v>
      </c>
      <c r="K28" s="17" t="e">
        <f ca="1">+IF(AND($D$1=YEAR('Avance Cuantitativo Productos'!J29),'Panel de Control PRODUCTOS'!$D$2="Q1",MONTH('Avance Cuantitativo Productos'!J29)&lt;=3,OR('Avance Cuantitativo Productos'!I29="Mensual",'Avance Cuantitativo Productos'!I29="Bimestral",'Avance Cuantitativo Productos'!I29="Trimestral"),SUM(OFFSET('Avance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PRODUCTOS'!$D$2="Q2",MONTH('Avance Cuantitativo Productos'!J29)&lt;=6,OR('Avance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PRODUCTOS'!$D$2="Q3",MONTH('Avance Cuantitativo Productos'!J29)&lt;=9,OR('Avance Cuantitativo Productos'!I29="Mensual",'Avance Cuantitativo Productos'!I29="Bimestral",'Avance Cuantitativo Productos'!I29="Trimestral",'Avance Cuantitativo Productos'!I29="Semestral"),SUM(OFFSET('Avance Cuantitativo Productos'!N29,0,0,1,IF($D$2="Q1",_xlfn.XMATCH($D$1,'Avance Cuantitativo Productos'!$N$4:$AS$4,0),IF($D$2="Q2",_xlfn.XMATCH($D$1,'Avance Cuantitativo Productos'!$N$4:$AS$4,0)+1,IF($D$2="Q3",_xlfn.XMATCH($D$1,'Avance Cuantitativo Productos'!$N$4:$AS$4,0)+2,IF($D$2="Q4",_xlfn.XMATCH($D$1,'Avance Cuantitativo Productos'!$N$4:$AS$4,0)+3))))))=0),"Rojo",IF(AND($D$1=YEAR('Avance Cuantitativo Productos'!J29),'Panel de Control PRODUCTOS'!$D$2="Q4",MONTH('Avance Cuantitativo Productos'!J29)&lt;=12,OR('Avance Cuantitativo Productos'!I29="Mensual",'Avance Cuantitativo Productos'!I29="Bimestral",'Avance Cuantitativo Productos'!I29="Trimestral",'Avance Cuantitativo Productos'!I29="Semestral",'Avance Cuantitativo Productos'!I29="Anual"),SUM(OFFSET('Avance Cuantitativo Productos'!N29,0,0,1,IF($D$2="Q1",_xlfn.XMATCH($D$1,'Avance Cuantitativo Productos'!$N$4:$AS$4,0),IF($D$2="Q2",_xlfn.XMATCH($D$1,'Avance Cuantitativo Productos'!$N$4:$AS$4,0)+1,IF($D$2="Q3",_xlfn.XMATCH($D$1,'Avance Cuantitativo Productos'!$N$4:$AS$4,0)+2,IF($D$2="Q4",_xlfn.XMATCH($D$1,'Avance Cuantitativo Productos'!$N$4:$AS$4,0)+3))))))=0),"Rojo",IF(AND(YEAR('Avance Cuantitativo Productos'!J29)&lt;$D$1,ISERROR('Avance Cuantitativo Productos'!M29)=TRUE),"Rojo",IF(AND(YEAR('Avance Cuantitativo Productos'!J29)&gt;$D$1,ISERROR('Avance Cuantitativo Productos'!M29)=TRUE),"Verde",IF(J28&gt;=0.75,"Verde",IF(AND(J28&lt;0.75,J28&gt;=0.5),"Amarillo",IF(J28&lt;0.5,"Rojo")))))))))</f>
        <v>#NAME?</v>
      </c>
      <c r="L28" s="46" t="e">
        <f t="shared" ca="1" si="0"/>
        <v>#NAME?</v>
      </c>
      <c r="M28" s="26" t="e">
        <f ca="1">+IF(Panel_Control[[#This Row],[PAV. Ajustado (100%)]]="","",Panel_Control[[#This Row],[PAV. Ajustado (100%)]]*Panel_Control[[#This Row],[Ponderación relativa del Producto (%)]])</f>
        <v>#NAME?</v>
      </c>
      <c r="N28" s="46" t="e">
        <f t="shared" ca="1" si="1"/>
        <v>#NAME?</v>
      </c>
      <c r="O28" s="26" t="e">
        <f ca="1">+IF(Panel_Control[[#This Row],[Porcentaje de Avance Hasta la Vigencia (100%)]]="","",Panel_Control[[#This Row],[Porcentaje de Avance Hasta la Vigencia (100%)]]*Panel_Control[[#This Row],[Ponderación relativa del Producto (%)]])</f>
        <v>#NAME?</v>
      </c>
      <c r="P28" s="46" t="e">
        <f t="shared" ca="1" si="2"/>
        <v>#NAME?</v>
      </c>
      <c r="Q28" s="26" t="e">
        <f ca="1">+IF(Panel_Control[[#This Row],[PAA. (100%)]]="","",Panel_Control[[#This Row],[PAA. (100%)]]*Panel_Control[[#This Row],[Ponderación relativa del Producto (%)]])</f>
        <v>#NAME?</v>
      </c>
      <c r="R28" s="47" cm="1">
        <f t="array" ref="R28">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1</v>
      </c>
      <c r="S28" s="26">
        <f>+Panel_Control[[#This Row],[Trayectoria Acumulada (Avance ideal)]]*Panel_Control[[#This Row],[Ponderación relativa del Producto (%)]]</f>
        <v>0.03</v>
      </c>
    </row>
    <row r="29" spans="1:19" ht="28.8" x14ac:dyDescent="0.3">
      <c r="A29" s="16">
        <f>+'Avance Cuantitativo Productos'!A30</f>
        <v>25</v>
      </c>
      <c r="B29" s="16" t="str">
        <f>+'Avance Cuantitativo Productos'!B30</f>
        <v>5.</v>
      </c>
      <c r="C29" s="44" t="str">
        <f>+'Avance Cuantitativo Productos'!C30</f>
        <v xml:space="preserve">5.1.1. Alianzas suscritas  por el IDRD para el fortalecimiento del sistema de parques y escenarios deportivos de la ciudad.  </v>
      </c>
      <c r="D29" s="44" t="str">
        <f>+'Avance Cuantitativo Productos'!E30</f>
        <v xml:space="preserve">Cultura, Recreación y Deporte </v>
      </c>
      <c r="E29" s="45">
        <f>IF(ISNA('Avance Cuantitativo Productos'!M30)=FALSE,'Avance Cuantitativo Productos'!F30,IF($D$1&gt;YEAR('Avance Cuantitativo Productos'!J30),'Avance Cuantitativo Productos'!F30,IF($D$1&lt;YEAR('Avance Cuantitativo Productos'!J30),0,IF(AND($D$1=YEAR('Avance Cuantitativo Productos'!J30),$D$2="Q1",OR('Avance Cuantitativo Productos'!I30&lt;&gt;"Mensual",'Avance Cuantitativo Productos'!I30&lt;&gt;"Bimestral",'Avance Cuantitativo Productos'!I30&lt;&gt;"Trimestral")),0,IF(AND($D$1=YEAR('Avance Cuantitativo Productos'!J30),$D$2="Q2",OR('Avance Cuantitativo Productos'!I30&lt;&gt;"Mensual",'Avance Cuantitativo Productos'!I30&lt;&gt;"Bimestral",'Avance Cuantitativo Productos'!I30&lt;&gt;"Trimestral",'Avance Cuantitativo Productos'!I30&lt;&gt;"Semestral")),0,IF(AND($D$1=YEAR('Avance Cuantitativo Productos'!J30),$D$2="Q3",OR('Avance Cuantitativo Productos'!I30&lt;&gt;"Mensual",'Avance Cuantitativo Productos'!I30&lt;&gt;"Bimestral",'Avance Cuantitativo Productos'!I30&lt;&gt;"Trimestral",'Avance Cuantitativo Productos'!I30&lt;&gt;"Semestral")),0,IF(AND($D$1=YEAR('Avance Cuantitativo Productos'!J30),$D$2="Q4",OR('Avance Cuantitativo Productos'!I30&lt;&gt;"Mensual",'Avance Cuantitativo Productos'!I30&lt;&gt;"Bimestral",'Avance Cuantitativo Productos'!I30&lt;&gt;"Trimestral",'Avance Cuantitativo Productos'!I30&lt;&gt;"Semestral",'Avance Cuantitativo Productos'!I30&lt;&gt;"Anual")),0,'Avance Cuantitativo Productos'!F30)))))))</f>
        <v>0.03</v>
      </c>
      <c r="F29" s="46" t="e" cm="1">
        <f t="array" aca="1" ref="F29" ca="1">+IF(AND(_xlfn.NUMBERVALUE($D$1)&gt;=YEAR('Avance Cuantitativo Productos'!J30),ISERROR('Avance Cuantitativo Productos'!M30)=TRUE,(OR(AND($D$2="Q1",MONTH('Avance Cuantitativo Productos'!J30)&lt;=3,OR('Avance Cuantitativo Productos'!I30="Mensual",'Avance Cuantitativo Productos'!I30="Bimestral",'Avance Cuantitativo Productos'!I30="Trimestral")),AND($D$2="Q2",MONTH('Avance Cuantitativo Productos'!J30)&lt;=6,OR('Avance Cuantitativo Productos'!I30="Mensual",'Avance Cuantitativo Productos'!I30="Bimestral",'Avance Cuantitativo Productos'!I30="Trimestral",'Avance Cuantitativo Productos'!I30="Semestral")),AND($D$2="Q3",MONTH('Avance Cuantitativo Productos'!J30)&lt;=9,OR('Avance Cuantitativo Productos'!I30="Mensual",'Avance Cuantitativo Productos'!I30="Bimestral",'Avance Cuantitativo Productos'!I30="Trimestral",'Avance Cuantitativo Productos'!I30="Semestral")),AND($D$2="Q4",MONTH('Avance Cuantitativo Productos'!J30)&lt;=12,OR('Avance Cuantitativo Productos'!I30="Mensual",'Avance Cuantitativo Productos'!I30="Bimestral",'Avance Cuantitativo Productos'!I30="Trimestral",'Avance Cuantitativo Productos'!I30="Semestral",'Avance Cuantitativo Productos'!I30="Anual"))))),0,_xlfn.XLOOKUP($D$1,TRANSPOSE(Anios_Reporte[Año de Reporte]),_xlfn.XLOOKUP(Panel_Control[[#This Row],[Producto '#]],Info_Productos_Cuantitativo[Producto No.],Avance_en_Vigencia_Productos[])))</f>
        <v>#NAME?</v>
      </c>
      <c r="G29" s="17" t="e">
        <f ca="1">+IF(AND($D$1=YEAR('Avance Cuantitativo Productos'!J30),'Panel de Control PRODUCTOS'!$D$2="Q1",OR('Avance Cuantitativo Productos'!I30="Mensual",'Avance Cuantitativo Productos'!I30="Bimestral",'Avance Cuantitativo Productos'!I30="Trimestral"),MONTH('Avance Cuantitativo Productos'!J30)&lt;=3,SUM(OFFSET('Avance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PRODUCTOS'!$D$2="Q2",MONTH('Avance Cuantitativo Productos'!J30)&lt;=6,OR('Avance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PRODUCTOS'!$D$2="Q3",MONTH('Avance Cuantitativo Productos'!J30)&lt;=9,OR('Avance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PRODUCTOS'!$D$2="Q4",MONTH('Avance Cuantitativo Productos'!J30)&lt;=12,OR('Avance Cuantitativo Productos'!I30="Mensual",'Avance Cuantitativo Productos'!I30="Bimestral",'Avance Cuantitativo Productos'!I30="Trimestral",'Avance Cuantitativo Productos'!I30="Semestral",'Avance Cuantitativo Productos'!I30="Anual"),SUM(OFFSET('Avance Cuantitativo Productos'!N30,0,0,1,IF($D$2="Q1",_xlfn.XMATCH($D$1,'Avance Cuantitativo Productos'!$N$4:$AS$4,0),IF($D$2="Q2",_xlfn.XMATCH($D$1,'Avance Cuantitativo Productos'!$N$4:$AS$4,0)+1,IF($D$2="Q3",_xlfn.XMATCH($D$1,'Avance Cuantitativo Productos'!$N$4:$AS$4,0)+2,IF($D$2="Q4",_xlfn.XMATCH($D$1,'Avance Cuantitativo Productos'!$N$4:$AS$4,0)+3)))))))=0,"Rojo",IF(F29&gt;=0.75,"Verde",IF(AND(F29&lt;0.75,F29&gt;=0.5),"Amarillo",IF(F29&lt;0.5,"Rojo","ERROR")))))))</f>
        <v>#NAME?</v>
      </c>
      <c r="H29" s="46" t="e" cm="1">
        <f t="array" aca="1" ref="H29" ca="1">+IF(AND(_xlfn.NUMBERVALUE($D$1)&gt;=YEAR('Avance Cuantitativo Productos'!J30),ISERROR('Avance Cuantitativo Productos'!M30)=TRUE,(OR(AND($D$2="Q1",MONTH('Avance Cuantitativo Productos'!J30)&lt;=3,OR('Avance Cuantitativo Productos'!I30="Mensual",'Avance Cuantitativo Productos'!I30="Bimestral",'Avance Cuantitativo Productos'!I30="Trimestral")),AND($D$2="Q2",MONTH('Avance Cuantitativo Productos'!J30)&lt;=6,OR('Avance Cuantitativo Productos'!I30="Mensual",'Avance Cuantitativo Productos'!I30="Bimestral",'Avance Cuantitativo Productos'!I30="Trimestral",'Avance Cuantitativo Productos'!I30="Semestral")),AND($D$2="Q3",MONTH('Avance Cuantitativo Productos'!J30)&lt;=9,OR('Avance Cuantitativo Productos'!I30="Mensual",'Avance Cuantitativo Productos'!I30="Bimestral",'Avance Cuantitativo Productos'!I30="Trimestral",'Avance Cuantitativo Productos'!I30="Semestral")),AND($D$2="Q4",MONTH('Avance Cuantitativo Productos'!J30)&lt;=12,OR('Avance Cuantitativo Productos'!I30="Mensual",'Avance Cuantitativo Productos'!I30="Bimestral",'Avance Cuantitativo Productos'!I30="Trimestral",'Avance Cuantitativo Productos'!I30="Semestral",'Avance Cuantitativo Productos'!I30="Anual"))))),0,_xlfn.XLOOKUP($D$1,TRANSPOSE(Anios_Reporte[Año de Reporte]),_xlfn.XLOOKUP(Panel_Control[[#This Row],[Producto '#]],Info_Productos_Cuantitativo[Producto No.],Avance_Hasta_Vigencia_Productos[])))</f>
        <v>#NAME?</v>
      </c>
      <c r="I29" s="16" t="e">
        <f ca="1">+IF(AND($D$1=YEAR('Avance Cuantitativo Productos'!J30),'Panel de Control PRODUCTOS'!$D$2="Q1",MONTH('Avance Cuantitativo Productos'!J30)&lt;=3,OR('Avance Cuantitativo Productos'!I30="Mensual",'Avance Cuantitativo Productos'!I30="Bimestral",'Avance Cuantitativo Productos'!I30="Trimestral"),SUM(OFFSET('Avance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PRODUCTOS'!$D$2="Q2",MONTH('Avance Cuantitativo Productos'!J30)&lt;=6,OR('Avance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PRODUCTOS'!$D$2="Q3",MONTH('Avance Cuantitativo Productos'!J30)&lt;=9,OR('Avance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PRODUCTOS'!$D$2="Q4",MONTH('Avance Cuantitativo Productos'!J30)&lt;=12,OR('Avance Cuantitativo Productos'!I30="Mensual",'Avance Cuantitativo Productos'!I30="Bimestral",'Avance Cuantitativo Productos'!I30="Trimestral",'Avance Cuantitativo Productos'!I30="Semestral",'Avance Cuantitativo Productos'!I30="Anual"),SUM(OFFSET('Avance Cuantitativo Productos'!N30,0,0,1,IF($D$2="Q1",_xlfn.XMATCH($D$1,'Avance Cuantitativo Productos'!$N$4:$AS$4,0),IF($D$2="Q2",_xlfn.XMATCH($D$1,'Avance Cuantitativo Productos'!$N$4:$AS$4,0)+1,IF($D$2="Q3",_xlfn.XMATCH($D$1,'Avance Cuantitativo Productos'!$N$4:$AS$4,0)+2,IF($D$2="Q4",_xlfn.XMATCH($D$1,'Avance Cuantitativo Productos'!$N$4:$AS$4,0)+3))))))=0),"Rojo",IF(AND(YEAR('Avance Cuantitativo Productos'!J30)&lt;$D$1,ISERROR('Avance Cuantitativo Productos'!M30)=TRUE),"Rojo",IF(AND(YEAR('Avance Cuantitativo Productos'!J30)&gt;$D$1,ISERROR('Avance Cuantitativo Productos'!M30)=TRUE),"Verde",IF(H29&gt;=0.75,"Verde",IF(AND(H29&lt;0.75,H29&gt;=0.5),"Amarillo",IF(H29&lt;0.5,"Rojo")))))))))</f>
        <v>#NAME?</v>
      </c>
      <c r="J29" s="46" t="e" cm="1">
        <f t="array" aca="1" ref="J29" ca="1">+IF(AND(_xlfn.NUMBERVALUE($D$1)&gt;=YEAR('Avance Cuantitativo Productos'!J30),ISERROR('Avance Cuantitativo Productos'!M30)=TRUE,(OR(AND($D$2="Q1",MONTH('Avance Cuantitativo Productos'!J30)&lt;=3,OR('Avance Cuantitativo Productos'!I30="Mensual",'Avance Cuantitativo Productos'!I30="Bimestral",'Avance Cuantitativo Productos'!I30="Trimestral")),AND($D$2="Q2",MONTH('Avance Cuantitativo Productos'!J30)&lt;=6,OR('Avance Cuantitativo Productos'!I30="Mensual",'Avance Cuantitativo Productos'!I30="Bimestral",'Avance Cuantitativo Productos'!I30="Trimestral",'Avance Cuantitativo Productos'!I30="Semestral")),AND($D$2="Q3",MONTH('Avance Cuantitativo Productos'!J30)&lt;=9,OR('Avance Cuantitativo Productos'!I30="Mensual",'Avance Cuantitativo Productos'!I30="Bimestral",'Avance Cuantitativo Productos'!I30="Trimestral",'Avance Cuantitativo Productos'!I30="Semestral")),AND($D$2="Q4",MONTH('Avance Cuantitativo Productos'!J30)&lt;=12,OR('Avance Cuantitativo Productos'!I30="Mensual",'Avance Cuantitativo Productos'!I30="Bimestral",'Avance Cuantitativo Productos'!I30="Trimestral",'Avance Cuantitativo Productos'!I30="Semestral",'Avance Cuantitativo Productos'!I30="Anual"))))),0,_xlfn.XLOOKUP($D$1,TRANSPOSE(Anios_Reporte[Año de Reporte]),_xlfn.XLOOKUP(Panel_Control[[#This Row],[Producto '#]],Info_Productos_Cuantitativo[Producto No.],Avance_Acumulado_Productos[])))</f>
        <v>#NAME?</v>
      </c>
      <c r="K29" s="17" t="e">
        <f ca="1">+IF(AND($D$1=YEAR('Avance Cuantitativo Productos'!J30),'Panel de Control PRODUCTOS'!$D$2="Q1",MONTH('Avance Cuantitativo Productos'!J30)&lt;=3,OR('Avance Cuantitativo Productos'!I30="Mensual",'Avance Cuantitativo Productos'!I30="Bimestral",'Avance Cuantitativo Productos'!I30="Trimestral"),SUM(OFFSET('Avance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PRODUCTOS'!$D$2="Q2",MONTH('Avance Cuantitativo Productos'!J30)&lt;=6,OR('Avance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PRODUCTOS'!$D$2="Q3",MONTH('Avance Cuantitativo Productos'!J30)&lt;=9,OR('Avance Cuantitativo Productos'!I30="Mensual",'Avance Cuantitativo Productos'!I30="Bimestral",'Avance Cuantitativo Productos'!I30="Trimestral",'Avance Cuantitativo Productos'!I30="Semestral"),SUM(OFFSET('Avance Cuantitativo Productos'!N30,0,0,1,IF($D$2="Q1",_xlfn.XMATCH($D$1,'Avance Cuantitativo Productos'!$N$4:$AS$4,0),IF($D$2="Q2",_xlfn.XMATCH($D$1,'Avance Cuantitativo Productos'!$N$4:$AS$4,0)+1,IF($D$2="Q3",_xlfn.XMATCH($D$1,'Avance Cuantitativo Productos'!$N$4:$AS$4,0)+2,IF($D$2="Q4",_xlfn.XMATCH($D$1,'Avance Cuantitativo Productos'!$N$4:$AS$4,0)+3))))))=0),"Rojo",IF(AND($D$1=YEAR('Avance Cuantitativo Productos'!J30),'Panel de Control PRODUCTOS'!$D$2="Q4",MONTH('Avance Cuantitativo Productos'!J30)&lt;=12,OR('Avance Cuantitativo Productos'!I30="Mensual",'Avance Cuantitativo Productos'!I30="Bimestral",'Avance Cuantitativo Productos'!I30="Trimestral",'Avance Cuantitativo Productos'!I30="Semestral",'Avance Cuantitativo Productos'!I30="Anual"),SUM(OFFSET('Avance Cuantitativo Productos'!N30,0,0,1,IF($D$2="Q1",_xlfn.XMATCH($D$1,'Avance Cuantitativo Productos'!$N$4:$AS$4,0),IF($D$2="Q2",_xlfn.XMATCH($D$1,'Avance Cuantitativo Productos'!$N$4:$AS$4,0)+1,IF($D$2="Q3",_xlfn.XMATCH($D$1,'Avance Cuantitativo Productos'!$N$4:$AS$4,0)+2,IF($D$2="Q4",_xlfn.XMATCH($D$1,'Avance Cuantitativo Productos'!$N$4:$AS$4,0)+3))))))=0),"Rojo",IF(AND(YEAR('Avance Cuantitativo Productos'!J30)&lt;$D$1,ISERROR('Avance Cuantitativo Productos'!M30)=TRUE),"Rojo",IF(AND(YEAR('Avance Cuantitativo Productos'!J30)&gt;$D$1,ISERROR('Avance Cuantitativo Productos'!M30)=TRUE),"Verde",IF(J29&gt;=0.75,"Verde",IF(AND(J29&lt;0.75,J29&gt;=0.5),"Amarillo",IF(J29&lt;0.5,"Rojo")))))))))</f>
        <v>#NAME?</v>
      </c>
      <c r="L29" s="46" t="e">
        <f t="shared" ca="1" si="0"/>
        <v>#NAME?</v>
      </c>
      <c r="M29" s="26" t="e">
        <f ca="1">+IF(Panel_Control[[#This Row],[PAV. Ajustado (100%)]]="","",Panel_Control[[#This Row],[PAV. Ajustado (100%)]]*Panel_Control[[#This Row],[Ponderación relativa del Producto (%)]])</f>
        <v>#NAME?</v>
      </c>
      <c r="N29" s="46" t="e">
        <f t="shared" ca="1" si="1"/>
        <v>#NAME?</v>
      </c>
      <c r="O29" s="26" t="e">
        <f ca="1">+IF(Panel_Control[[#This Row],[Porcentaje de Avance Hasta la Vigencia (100%)]]="","",Panel_Control[[#This Row],[Porcentaje de Avance Hasta la Vigencia (100%)]]*Panel_Control[[#This Row],[Ponderación relativa del Producto (%)]])</f>
        <v>#NAME?</v>
      </c>
      <c r="P29" s="46" t="e">
        <f t="shared" ca="1" si="2"/>
        <v>#NAME?</v>
      </c>
      <c r="Q29" s="26" t="e">
        <f ca="1">+IF(Panel_Control[[#This Row],[PAA. (100%)]]="","",Panel_Control[[#This Row],[PAA. (100%)]]*Panel_Control[[#This Row],[Ponderación relativa del Producto (%)]])</f>
        <v>#NAME?</v>
      </c>
      <c r="R29" s="47" cm="1">
        <f t="array" ref="R29">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0.19630156472261737</v>
      </c>
      <c r="S29" s="26">
        <f>+Panel_Control[[#This Row],[Trayectoria Acumulada (Avance ideal)]]*Panel_Control[[#This Row],[Ponderación relativa del Producto (%)]]</f>
        <v>5.889046941678521E-3</v>
      </c>
    </row>
    <row r="30" spans="1:19" ht="28.8" x14ac:dyDescent="0.3">
      <c r="A30" s="16">
        <f>+'Avance Cuantitativo Productos'!A31</f>
        <v>26</v>
      </c>
      <c r="B30" s="16" t="str">
        <f>+'Avance Cuantitativo Productos'!B31</f>
        <v>5.</v>
      </c>
      <c r="C30" s="44" t="str">
        <f>+'Avance Cuantitativo Productos'!C31</f>
        <v>5.1.2 Intervenciones recreodeportivas en los espacios de influencia de los Distritos Creativos.</v>
      </c>
      <c r="D30" s="44" t="str">
        <f>+'Avance Cuantitativo Productos'!E31</f>
        <v xml:space="preserve">Cultura, Recreación y Deporte </v>
      </c>
      <c r="E30" s="45">
        <f>IF(ISNA('Avance Cuantitativo Productos'!M31)=FALSE,'Avance Cuantitativo Productos'!F31,IF($D$1&gt;YEAR('Avance Cuantitativo Productos'!J31),'Avance Cuantitativo Productos'!F31,IF($D$1&lt;YEAR('Avance Cuantitativo Productos'!J31),0,IF(AND($D$1=YEAR('Avance Cuantitativo Productos'!J31),$D$2="Q1",OR('Avance Cuantitativo Productos'!I31&lt;&gt;"Mensual",'Avance Cuantitativo Productos'!I31&lt;&gt;"Bimestral",'Avance Cuantitativo Productos'!I31&lt;&gt;"Trimestral")),0,IF(AND($D$1=YEAR('Avance Cuantitativo Productos'!J31),$D$2="Q2",OR('Avance Cuantitativo Productos'!I31&lt;&gt;"Mensual",'Avance Cuantitativo Productos'!I31&lt;&gt;"Bimestral",'Avance Cuantitativo Productos'!I31&lt;&gt;"Trimestral",'Avance Cuantitativo Productos'!I31&lt;&gt;"Semestral")),0,IF(AND($D$1=YEAR('Avance Cuantitativo Productos'!J31),$D$2="Q3",OR('Avance Cuantitativo Productos'!I31&lt;&gt;"Mensual",'Avance Cuantitativo Productos'!I31&lt;&gt;"Bimestral",'Avance Cuantitativo Productos'!I31&lt;&gt;"Trimestral",'Avance Cuantitativo Productos'!I31&lt;&gt;"Semestral")),0,IF(AND($D$1=YEAR('Avance Cuantitativo Productos'!J31),$D$2="Q4",OR('Avance Cuantitativo Productos'!I31&lt;&gt;"Mensual",'Avance Cuantitativo Productos'!I31&lt;&gt;"Bimestral",'Avance Cuantitativo Productos'!I31&lt;&gt;"Trimestral",'Avance Cuantitativo Productos'!I31&lt;&gt;"Semestral",'Avance Cuantitativo Productos'!I31&lt;&gt;"Anual")),0,'Avance Cuantitativo Productos'!F31)))))))</f>
        <v>0.02</v>
      </c>
      <c r="F30" s="46" t="e" cm="1">
        <f t="array" aca="1" ref="F30" ca="1">+IF(AND(_xlfn.NUMBERVALUE($D$1)&gt;=YEAR('Avance Cuantitativo Productos'!J31),ISERROR('Avance Cuantitativo Productos'!M31)=TRUE,(OR(AND($D$2="Q1",MONTH('Avance Cuantitativo Productos'!J31)&lt;=3,OR('Avance Cuantitativo Productos'!I31="Mensual",'Avance Cuantitativo Productos'!I31="Bimestral",'Avance Cuantitativo Productos'!I31="Trimestral")),AND($D$2="Q2",MONTH('Avance Cuantitativo Productos'!J31)&lt;=6,OR('Avance Cuantitativo Productos'!I31="Mensual",'Avance Cuantitativo Productos'!I31="Bimestral",'Avance Cuantitativo Productos'!I31="Trimestral",'Avance Cuantitativo Productos'!I31="Semestral")),AND($D$2="Q3",MONTH('Avance Cuantitativo Productos'!J31)&lt;=9,OR('Avance Cuantitativo Productos'!I31="Mensual",'Avance Cuantitativo Productos'!I31="Bimestral",'Avance Cuantitativo Productos'!I31="Trimestral",'Avance Cuantitativo Productos'!I31="Semestral")),AND($D$2="Q4",MONTH('Avance Cuantitativo Productos'!J31)&lt;=12,OR('Avance Cuantitativo Productos'!I31="Mensual",'Avance Cuantitativo Productos'!I31="Bimestral",'Avance Cuantitativo Productos'!I31="Trimestral",'Avance Cuantitativo Productos'!I31="Semestral",'Avance Cuantitativo Productos'!I31="Anual"))))),0,_xlfn.XLOOKUP($D$1,TRANSPOSE(Anios_Reporte[Año de Reporte]),_xlfn.XLOOKUP(Panel_Control[[#This Row],[Producto '#]],Info_Productos_Cuantitativo[Producto No.],Avance_en_Vigencia_Productos[])))</f>
        <v>#NAME?</v>
      </c>
      <c r="G30" s="17" t="e">
        <f ca="1">+IF(AND($D$1=YEAR('Avance Cuantitativo Productos'!J31),'Panel de Control PRODUCTOS'!$D$2="Q1",OR('Avance Cuantitativo Productos'!I31="Mensual",'Avance Cuantitativo Productos'!I31="Bimestral",'Avance Cuantitativo Productos'!I31="Trimestral"),MONTH('Avance Cuantitativo Productos'!J31)&lt;=3,SUM(OFFSET('Avance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PRODUCTOS'!$D$2="Q2",MONTH('Avance Cuantitativo Productos'!J31)&lt;=6,OR('Avance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PRODUCTOS'!$D$2="Q3",MONTH('Avance Cuantitativo Productos'!J31)&lt;=9,OR('Avance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PRODUCTOS'!$D$2="Q4",MONTH('Avance Cuantitativo Productos'!J31)&lt;=12,OR('Avance Cuantitativo Productos'!I31="Mensual",'Avance Cuantitativo Productos'!I31="Bimestral",'Avance Cuantitativo Productos'!I31="Trimestral",'Avance Cuantitativo Productos'!I31="Semestral",'Avance Cuantitativo Productos'!I31="Anual"),SUM(OFFSET('Avance Cuantitativo Productos'!N31,0,0,1,IF($D$2="Q1",_xlfn.XMATCH($D$1,'Avance Cuantitativo Productos'!$N$4:$AS$4,0),IF($D$2="Q2",_xlfn.XMATCH($D$1,'Avance Cuantitativo Productos'!$N$4:$AS$4,0)+1,IF($D$2="Q3",_xlfn.XMATCH($D$1,'Avance Cuantitativo Productos'!$N$4:$AS$4,0)+2,IF($D$2="Q4",_xlfn.XMATCH($D$1,'Avance Cuantitativo Productos'!$N$4:$AS$4,0)+3)))))))=0,"Rojo",IF(F30&gt;=0.75,"Verde",IF(AND(F30&lt;0.75,F30&gt;=0.5),"Amarillo",IF(F30&lt;0.5,"Rojo","ERROR")))))))</f>
        <v>#NAME?</v>
      </c>
      <c r="H30" s="46" t="e" cm="1">
        <f t="array" aca="1" ref="H30" ca="1">+IF(AND(_xlfn.NUMBERVALUE($D$1)&gt;=YEAR('Avance Cuantitativo Productos'!J31),ISERROR('Avance Cuantitativo Productos'!M31)=TRUE,(OR(AND($D$2="Q1",MONTH('Avance Cuantitativo Productos'!J31)&lt;=3,OR('Avance Cuantitativo Productos'!I31="Mensual",'Avance Cuantitativo Productos'!I31="Bimestral",'Avance Cuantitativo Productos'!I31="Trimestral")),AND($D$2="Q2",MONTH('Avance Cuantitativo Productos'!J31)&lt;=6,OR('Avance Cuantitativo Productos'!I31="Mensual",'Avance Cuantitativo Productos'!I31="Bimestral",'Avance Cuantitativo Productos'!I31="Trimestral",'Avance Cuantitativo Productos'!I31="Semestral")),AND($D$2="Q3",MONTH('Avance Cuantitativo Productos'!J31)&lt;=9,OR('Avance Cuantitativo Productos'!I31="Mensual",'Avance Cuantitativo Productos'!I31="Bimestral",'Avance Cuantitativo Productos'!I31="Trimestral",'Avance Cuantitativo Productos'!I31="Semestral")),AND($D$2="Q4",MONTH('Avance Cuantitativo Productos'!J31)&lt;=12,OR('Avance Cuantitativo Productos'!I31="Mensual",'Avance Cuantitativo Productos'!I31="Bimestral",'Avance Cuantitativo Productos'!I31="Trimestral",'Avance Cuantitativo Productos'!I31="Semestral",'Avance Cuantitativo Productos'!I31="Anual"))))),0,_xlfn.XLOOKUP($D$1,TRANSPOSE(Anios_Reporte[Año de Reporte]),_xlfn.XLOOKUP(Panel_Control[[#This Row],[Producto '#]],Info_Productos_Cuantitativo[Producto No.],Avance_Hasta_Vigencia_Productos[])))</f>
        <v>#NAME?</v>
      </c>
      <c r="I30" s="16" t="e">
        <f ca="1">+IF(AND($D$1=YEAR('Avance Cuantitativo Productos'!J31),'Panel de Control PRODUCTOS'!$D$2="Q1",MONTH('Avance Cuantitativo Productos'!J31)&lt;=3,OR('Avance Cuantitativo Productos'!I31="Mensual",'Avance Cuantitativo Productos'!I31="Bimestral",'Avance Cuantitativo Productos'!I31="Trimestral"),SUM(OFFSET('Avance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PRODUCTOS'!$D$2="Q2",MONTH('Avance Cuantitativo Productos'!J31)&lt;=6,OR('Avance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PRODUCTOS'!$D$2="Q3",MONTH('Avance Cuantitativo Productos'!J31)&lt;=9,OR('Avance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PRODUCTOS'!$D$2="Q4",MONTH('Avance Cuantitativo Productos'!J31)&lt;=12,OR('Avance Cuantitativo Productos'!I31="Mensual",'Avance Cuantitativo Productos'!I31="Bimestral",'Avance Cuantitativo Productos'!I31="Trimestral",'Avance Cuantitativo Productos'!I31="Semestral",'Avance Cuantitativo Productos'!I31="Anual"),SUM(OFFSET('Avance Cuantitativo Productos'!N31,0,0,1,IF($D$2="Q1",_xlfn.XMATCH($D$1,'Avance Cuantitativo Productos'!$N$4:$AS$4,0),IF($D$2="Q2",_xlfn.XMATCH($D$1,'Avance Cuantitativo Productos'!$N$4:$AS$4,0)+1,IF($D$2="Q3",_xlfn.XMATCH($D$1,'Avance Cuantitativo Productos'!$N$4:$AS$4,0)+2,IF($D$2="Q4",_xlfn.XMATCH($D$1,'Avance Cuantitativo Productos'!$N$4:$AS$4,0)+3))))))=0),"Rojo",IF(AND(YEAR('Avance Cuantitativo Productos'!J31)&lt;$D$1,ISERROR('Avance Cuantitativo Productos'!M31)=TRUE),"Rojo",IF(AND(YEAR('Avance Cuantitativo Productos'!J31)&gt;$D$1,ISERROR('Avance Cuantitativo Productos'!M31)=TRUE),"Verde",IF(H30&gt;=0.75,"Verde",IF(AND(H30&lt;0.75,H30&gt;=0.5),"Amarillo",IF(H30&lt;0.5,"Rojo")))))))))</f>
        <v>#NAME?</v>
      </c>
      <c r="J30" s="46" t="e" cm="1">
        <f t="array" aca="1" ref="J30" ca="1">+IF(AND(_xlfn.NUMBERVALUE($D$1)&gt;=YEAR('Avance Cuantitativo Productos'!J31),ISERROR('Avance Cuantitativo Productos'!M31)=TRUE,(OR(AND($D$2="Q1",MONTH('Avance Cuantitativo Productos'!J31)&lt;=3,OR('Avance Cuantitativo Productos'!I31="Mensual",'Avance Cuantitativo Productos'!I31="Bimestral",'Avance Cuantitativo Productos'!I31="Trimestral")),AND($D$2="Q2",MONTH('Avance Cuantitativo Productos'!J31)&lt;=6,OR('Avance Cuantitativo Productos'!I31="Mensual",'Avance Cuantitativo Productos'!I31="Bimestral",'Avance Cuantitativo Productos'!I31="Trimestral",'Avance Cuantitativo Productos'!I31="Semestral")),AND($D$2="Q3",MONTH('Avance Cuantitativo Productos'!J31)&lt;=9,OR('Avance Cuantitativo Productos'!I31="Mensual",'Avance Cuantitativo Productos'!I31="Bimestral",'Avance Cuantitativo Productos'!I31="Trimestral",'Avance Cuantitativo Productos'!I31="Semestral")),AND($D$2="Q4",MONTH('Avance Cuantitativo Productos'!J31)&lt;=12,OR('Avance Cuantitativo Productos'!I31="Mensual",'Avance Cuantitativo Productos'!I31="Bimestral",'Avance Cuantitativo Productos'!I31="Trimestral",'Avance Cuantitativo Productos'!I31="Semestral",'Avance Cuantitativo Productos'!I31="Anual"))))),0,_xlfn.XLOOKUP($D$1,TRANSPOSE(Anios_Reporte[Año de Reporte]),_xlfn.XLOOKUP(Panel_Control[[#This Row],[Producto '#]],Info_Productos_Cuantitativo[Producto No.],Avance_Acumulado_Productos[])))</f>
        <v>#NAME?</v>
      </c>
      <c r="K30" s="17" t="e">
        <f ca="1">+IF(AND($D$1=YEAR('Avance Cuantitativo Productos'!J31),'Panel de Control PRODUCTOS'!$D$2="Q1",MONTH('Avance Cuantitativo Productos'!J31)&lt;=3,OR('Avance Cuantitativo Productos'!I31="Mensual",'Avance Cuantitativo Productos'!I31="Bimestral",'Avance Cuantitativo Productos'!I31="Trimestral"),SUM(OFFSET('Avance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PRODUCTOS'!$D$2="Q2",MONTH('Avance Cuantitativo Productos'!J31)&lt;=6,OR('Avance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PRODUCTOS'!$D$2="Q3",MONTH('Avance Cuantitativo Productos'!J31)&lt;=9,OR('Avance Cuantitativo Productos'!I31="Mensual",'Avance Cuantitativo Productos'!I31="Bimestral",'Avance Cuantitativo Productos'!I31="Trimestral",'Avance Cuantitativo Productos'!I31="Semestral"),SUM(OFFSET('Avance Cuantitativo Productos'!N31,0,0,1,IF($D$2="Q1",_xlfn.XMATCH($D$1,'Avance Cuantitativo Productos'!$N$4:$AS$4,0),IF($D$2="Q2",_xlfn.XMATCH($D$1,'Avance Cuantitativo Productos'!$N$4:$AS$4,0)+1,IF($D$2="Q3",_xlfn.XMATCH($D$1,'Avance Cuantitativo Productos'!$N$4:$AS$4,0)+2,IF($D$2="Q4",_xlfn.XMATCH($D$1,'Avance Cuantitativo Productos'!$N$4:$AS$4,0)+3))))))=0),"Rojo",IF(AND($D$1=YEAR('Avance Cuantitativo Productos'!J31),'Panel de Control PRODUCTOS'!$D$2="Q4",MONTH('Avance Cuantitativo Productos'!J31)&lt;=12,OR('Avance Cuantitativo Productos'!I31="Mensual",'Avance Cuantitativo Productos'!I31="Bimestral",'Avance Cuantitativo Productos'!I31="Trimestral",'Avance Cuantitativo Productos'!I31="Semestral",'Avance Cuantitativo Productos'!I31="Anual"),SUM(OFFSET('Avance Cuantitativo Productos'!N31,0,0,1,IF($D$2="Q1",_xlfn.XMATCH($D$1,'Avance Cuantitativo Productos'!$N$4:$AS$4,0),IF($D$2="Q2",_xlfn.XMATCH($D$1,'Avance Cuantitativo Productos'!$N$4:$AS$4,0)+1,IF($D$2="Q3",_xlfn.XMATCH($D$1,'Avance Cuantitativo Productos'!$N$4:$AS$4,0)+2,IF($D$2="Q4",_xlfn.XMATCH($D$1,'Avance Cuantitativo Productos'!$N$4:$AS$4,0)+3))))))=0),"Rojo",IF(AND(YEAR('Avance Cuantitativo Productos'!J31)&lt;$D$1,ISERROR('Avance Cuantitativo Productos'!M31)=TRUE),"Rojo",IF(AND(YEAR('Avance Cuantitativo Productos'!J31)&gt;$D$1,ISERROR('Avance Cuantitativo Productos'!M31)=TRUE),"Verde",IF(J30&gt;=0.75,"Verde",IF(AND(J30&lt;0.75,J30&gt;=0.5),"Amarillo",IF(J30&lt;0.5,"Rojo")))))))))</f>
        <v>#NAME?</v>
      </c>
      <c r="L30" s="46" t="e">
        <f t="shared" ca="1" si="0"/>
        <v>#NAME?</v>
      </c>
      <c r="M30" s="26" t="e">
        <f ca="1">+IF(Panel_Control[[#This Row],[PAV. Ajustado (100%)]]="","",Panel_Control[[#This Row],[PAV. Ajustado (100%)]]*Panel_Control[[#This Row],[Ponderación relativa del Producto (%)]])</f>
        <v>#NAME?</v>
      </c>
      <c r="N30" s="46" t="e">
        <f t="shared" ca="1" si="1"/>
        <v>#NAME?</v>
      </c>
      <c r="O30" s="26" t="e">
        <f ca="1">+IF(Panel_Control[[#This Row],[Porcentaje de Avance Hasta la Vigencia (100%)]]="","",Panel_Control[[#This Row],[Porcentaje de Avance Hasta la Vigencia (100%)]]*Panel_Control[[#This Row],[Ponderación relativa del Producto (%)]])</f>
        <v>#NAME?</v>
      </c>
      <c r="P30" s="46" t="e">
        <f t="shared" ca="1" si="2"/>
        <v>#NAME?</v>
      </c>
      <c r="Q30" s="26" t="e">
        <f ca="1">+IF(Panel_Control[[#This Row],[PAA. (100%)]]="","",Panel_Control[[#This Row],[PAA. (100%)]]*Panel_Control[[#This Row],[Ponderación relativa del Producto (%)]])</f>
        <v>#NAME?</v>
      </c>
      <c r="R30" s="47" cm="1">
        <f t="array" ref="R30">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0.2</v>
      </c>
      <c r="S30" s="26">
        <f>+Panel_Control[[#This Row],[Trayectoria Acumulada (Avance ideal)]]*Panel_Control[[#This Row],[Ponderación relativa del Producto (%)]]</f>
        <v>4.0000000000000001E-3</v>
      </c>
    </row>
    <row r="31" spans="1:19" ht="43.2" x14ac:dyDescent="0.3">
      <c r="A31" s="16">
        <f>+'Avance Cuantitativo Productos'!A32</f>
        <v>27</v>
      </c>
      <c r="B31" s="16" t="str">
        <f>+'Avance Cuantitativo Productos'!B32</f>
        <v>5.</v>
      </c>
      <c r="C31" s="44" t="str">
        <f>+'Avance Cuantitativo Productos'!C32</f>
        <v>5.1.3. Protocolo para el fomento del respeto a la diversidad poblacional y la prevención de violencias basadas en género  en los parques y escenarios administrados directamente por el IDRD</v>
      </c>
      <c r="D31" s="44" t="str">
        <f>+'Avance Cuantitativo Productos'!E32</f>
        <v xml:space="preserve">Cultura, Recreación y Deporte </v>
      </c>
      <c r="E31" s="45">
        <f>IF(ISNA('Avance Cuantitativo Productos'!M32)=FALSE,'Avance Cuantitativo Productos'!F32,IF($D$1&gt;YEAR('Avance Cuantitativo Productos'!J32),'Avance Cuantitativo Productos'!F32,IF($D$1&lt;YEAR('Avance Cuantitativo Productos'!J32),0,IF(AND($D$1=YEAR('Avance Cuantitativo Productos'!J32),$D$2="Q1",OR('Avance Cuantitativo Productos'!I32&lt;&gt;"Mensual",'Avance Cuantitativo Productos'!I32&lt;&gt;"Bimestral",'Avance Cuantitativo Productos'!I32&lt;&gt;"Trimestral")),0,IF(AND($D$1=YEAR('Avance Cuantitativo Productos'!J32),$D$2="Q2",OR('Avance Cuantitativo Productos'!I32&lt;&gt;"Mensual",'Avance Cuantitativo Productos'!I32&lt;&gt;"Bimestral",'Avance Cuantitativo Productos'!I32&lt;&gt;"Trimestral",'Avance Cuantitativo Productos'!I32&lt;&gt;"Semestral")),0,IF(AND($D$1=YEAR('Avance Cuantitativo Productos'!J32),$D$2="Q3",OR('Avance Cuantitativo Productos'!I32&lt;&gt;"Mensual",'Avance Cuantitativo Productos'!I32&lt;&gt;"Bimestral",'Avance Cuantitativo Productos'!I32&lt;&gt;"Trimestral",'Avance Cuantitativo Productos'!I32&lt;&gt;"Semestral")),0,IF(AND($D$1=YEAR('Avance Cuantitativo Productos'!J32),$D$2="Q4",OR('Avance Cuantitativo Productos'!I32&lt;&gt;"Mensual",'Avance Cuantitativo Productos'!I32&lt;&gt;"Bimestral",'Avance Cuantitativo Productos'!I32&lt;&gt;"Trimestral",'Avance Cuantitativo Productos'!I32&lt;&gt;"Semestral",'Avance Cuantitativo Productos'!I32&lt;&gt;"Anual")),0,'Avance Cuantitativo Productos'!F32)))))))</f>
        <v>0.05</v>
      </c>
      <c r="F31" s="46" t="e" cm="1">
        <f t="array" aca="1" ref="F31" ca="1">+IF(AND(_xlfn.NUMBERVALUE($D$1)&gt;=YEAR('Avance Cuantitativo Productos'!J32),ISERROR('Avance Cuantitativo Productos'!M32)=TRUE,(OR(AND($D$2="Q1",MONTH('Avance Cuantitativo Productos'!J32)&lt;=3,OR('Avance Cuantitativo Productos'!I32="Mensual",'Avance Cuantitativo Productos'!I32="Bimestral",'Avance Cuantitativo Productos'!I32="Trimestral")),AND($D$2="Q2",MONTH('Avance Cuantitativo Productos'!J32)&lt;=6,OR('Avance Cuantitativo Productos'!I32="Mensual",'Avance Cuantitativo Productos'!I32="Bimestral",'Avance Cuantitativo Productos'!I32="Trimestral",'Avance Cuantitativo Productos'!I32="Semestral")),AND($D$2="Q3",MONTH('Avance Cuantitativo Productos'!J32)&lt;=9,OR('Avance Cuantitativo Productos'!I32="Mensual",'Avance Cuantitativo Productos'!I32="Bimestral",'Avance Cuantitativo Productos'!I32="Trimestral",'Avance Cuantitativo Productos'!I32="Semestral")),AND($D$2="Q4",MONTH('Avance Cuantitativo Productos'!J32)&lt;=12,OR('Avance Cuantitativo Productos'!I32="Mensual",'Avance Cuantitativo Productos'!I32="Bimestral",'Avance Cuantitativo Productos'!I32="Trimestral",'Avance Cuantitativo Productos'!I32="Semestral",'Avance Cuantitativo Productos'!I32="Anual"))))),0,_xlfn.XLOOKUP($D$1,TRANSPOSE(Anios_Reporte[Año de Reporte]),_xlfn.XLOOKUP(Panel_Control[[#This Row],[Producto '#]],Info_Productos_Cuantitativo[Producto No.],Avance_en_Vigencia_Productos[])))</f>
        <v>#NAME?</v>
      </c>
      <c r="G31" s="17" t="e">
        <f ca="1">+IF(AND($D$1=YEAR('Avance Cuantitativo Productos'!J32),'Panel de Control PRODUCTOS'!$D$2="Q1",OR('Avance Cuantitativo Productos'!I32="Mensual",'Avance Cuantitativo Productos'!I32="Bimestral",'Avance Cuantitativo Productos'!I32="Trimestral"),MONTH('Avance Cuantitativo Productos'!J32)&lt;=3,SUM(OFFSET('Avance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PRODUCTOS'!$D$2="Q2",MONTH('Avance Cuantitativo Productos'!J32)&lt;=6,OR('Avance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PRODUCTOS'!$D$2="Q3",MONTH('Avance Cuantitativo Productos'!J32)&lt;=9,OR('Avance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PRODUCTOS'!$D$2="Q4",MONTH('Avance Cuantitativo Productos'!J32)&lt;=12,OR('Avance Cuantitativo Productos'!I32="Mensual",'Avance Cuantitativo Productos'!I32="Bimestral",'Avance Cuantitativo Productos'!I32="Trimestral",'Avance Cuantitativo Productos'!I32="Semestral",'Avance Cuantitativo Productos'!I32="Anual"),SUM(OFFSET('Avance Cuantitativo Productos'!N32,0,0,1,IF($D$2="Q1",_xlfn.XMATCH($D$1,'Avance Cuantitativo Productos'!$N$4:$AS$4,0),IF($D$2="Q2",_xlfn.XMATCH($D$1,'Avance Cuantitativo Productos'!$N$4:$AS$4,0)+1,IF($D$2="Q3",_xlfn.XMATCH($D$1,'Avance Cuantitativo Productos'!$N$4:$AS$4,0)+2,IF($D$2="Q4",_xlfn.XMATCH($D$1,'Avance Cuantitativo Productos'!$N$4:$AS$4,0)+3)))))))=0,"Rojo",IF(F31&gt;=0.75,"Verde",IF(AND(F31&lt;0.75,F31&gt;=0.5),"Amarillo",IF(F31&lt;0.5,"Rojo","ERROR")))))))</f>
        <v>#NAME?</v>
      </c>
      <c r="H31" s="46" t="e" cm="1">
        <f t="array" aca="1" ref="H31" ca="1">+IF(AND(_xlfn.NUMBERVALUE($D$1)&gt;=YEAR('Avance Cuantitativo Productos'!J32),ISERROR('Avance Cuantitativo Productos'!M32)=TRUE,(OR(AND($D$2="Q1",MONTH('Avance Cuantitativo Productos'!J32)&lt;=3,OR('Avance Cuantitativo Productos'!I32="Mensual",'Avance Cuantitativo Productos'!I32="Bimestral",'Avance Cuantitativo Productos'!I32="Trimestral")),AND($D$2="Q2",MONTH('Avance Cuantitativo Productos'!J32)&lt;=6,OR('Avance Cuantitativo Productos'!I32="Mensual",'Avance Cuantitativo Productos'!I32="Bimestral",'Avance Cuantitativo Productos'!I32="Trimestral",'Avance Cuantitativo Productos'!I32="Semestral")),AND($D$2="Q3",MONTH('Avance Cuantitativo Productos'!J32)&lt;=9,OR('Avance Cuantitativo Productos'!I32="Mensual",'Avance Cuantitativo Productos'!I32="Bimestral",'Avance Cuantitativo Productos'!I32="Trimestral",'Avance Cuantitativo Productos'!I32="Semestral")),AND($D$2="Q4",MONTH('Avance Cuantitativo Productos'!J32)&lt;=12,OR('Avance Cuantitativo Productos'!I32="Mensual",'Avance Cuantitativo Productos'!I32="Bimestral",'Avance Cuantitativo Productos'!I32="Trimestral",'Avance Cuantitativo Productos'!I32="Semestral",'Avance Cuantitativo Productos'!I32="Anual"))))),0,_xlfn.XLOOKUP($D$1,TRANSPOSE(Anios_Reporte[Año de Reporte]),_xlfn.XLOOKUP(Panel_Control[[#This Row],[Producto '#]],Info_Productos_Cuantitativo[Producto No.],Avance_Hasta_Vigencia_Productos[])))</f>
        <v>#NAME?</v>
      </c>
      <c r="I31" s="16" t="e">
        <f ca="1">+IF(AND($D$1=YEAR('Avance Cuantitativo Productos'!J32),'Panel de Control PRODUCTOS'!$D$2="Q1",MONTH('Avance Cuantitativo Productos'!J32)&lt;=3,OR('Avance Cuantitativo Productos'!I32="Mensual",'Avance Cuantitativo Productos'!I32="Bimestral",'Avance Cuantitativo Productos'!I32="Trimestral"),SUM(OFFSET('Avance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PRODUCTOS'!$D$2="Q2",MONTH('Avance Cuantitativo Productos'!J32)&lt;=6,OR('Avance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PRODUCTOS'!$D$2="Q3",MONTH('Avance Cuantitativo Productos'!J32)&lt;=9,OR('Avance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PRODUCTOS'!$D$2="Q4",MONTH('Avance Cuantitativo Productos'!J32)&lt;=12,OR('Avance Cuantitativo Productos'!I32="Mensual",'Avance Cuantitativo Productos'!I32="Bimestral",'Avance Cuantitativo Productos'!I32="Trimestral",'Avance Cuantitativo Productos'!I32="Semestral",'Avance Cuantitativo Productos'!I32="Anual"),SUM(OFFSET('Avance Cuantitativo Productos'!N32,0,0,1,IF($D$2="Q1",_xlfn.XMATCH($D$1,'Avance Cuantitativo Productos'!$N$4:$AS$4,0),IF($D$2="Q2",_xlfn.XMATCH($D$1,'Avance Cuantitativo Productos'!$N$4:$AS$4,0)+1,IF($D$2="Q3",_xlfn.XMATCH($D$1,'Avance Cuantitativo Productos'!$N$4:$AS$4,0)+2,IF($D$2="Q4",_xlfn.XMATCH($D$1,'Avance Cuantitativo Productos'!$N$4:$AS$4,0)+3))))))=0),"Rojo",IF(AND(YEAR('Avance Cuantitativo Productos'!J32)&lt;$D$1,ISERROR('Avance Cuantitativo Productos'!M32)=TRUE),"Rojo",IF(AND(YEAR('Avance Cuantitativo Productos'!J32)&gt;$D$1,ISERROR('Avance Cuantitativo Productos'!M32)=TRUE),"Verde",IF(H31&gt;=0.75,"Verde",IF(AND(H31&lt;0.75,H31&gt;=0.5),"Amarillo",IF(H31&lt;0.5,"Rojo")))))))))</f>
        <v>#NAME?</v>
      </c>
      <c r="J31" s="46" t="e" cm="1">
        <f t="array" aca="1" ref="J31" ca="1">+IF(AND(_xlfn.NUMBERVALUE($D$1)&gt;=YEAR('Avance Cuantitativo Productos'!J32),ISERROR('Avance Cuantitativo Productos'!M32)=TRUE,(OR(AND($D$2="Q1",MONTH('Avance Cuantitativo Productos'!J32)&lt;=3,OR('Avance Cuantitativo Productos'!I32="Mensual",'Avance Cuantitativo Productos'!I32="Bimestral",'Avance Cuantitativo Productos'!I32="Trimestral")),AND($D$2="Q2",MONTH('Avance Cuantitativo Productos'!J32)&lt;=6,OR('Avance Cuantitativo Productos'!I32="Mensual",'Avance Cuantitativo Productos'!I32="Bimestral",'Avance Cuantitativo Productos'!I32="Trimestral",'Avance Cuantitativo Productos'!I32="Semestral")),AND($D$2="Q3",MONTH('Avance Cuantitativo Productos'!J32)&lt;=9,OR('Avance Cuantitativo Productos'!I32="Mensual",'Avance Cuantitativo Productos'!I32="Bimestral",'Avance Cuantitativo Productos'!I32="Trimestral",'Avance Cuantitativo Productos'!I32="Semestral")),AND($D$2="Q4",MONTH('Avance Cuantitativo Productos'!J32)&lt;=12,OR('Avance Cuantitativo Productos'!I32="Mensual",'Avance Cuantitativo Productos'!I32="Bimestral",'Avance Cuantitativo Productos'!I32="Trimestral",'Avance Cuantitativo Productos'!I32="Semestral",'Avance Cuantitativo Productos'!I32="Anual"))))),0,_xlfn.XLOOKUP($D$1,TRANSPOSE(Anios_Reporte[Año de Reporte]),_xlfn.XLOOKUP(Panel_Control[[#This Row],[Producto '#]],Info_Productos_Cuantitativo[Producto No.],Avance_Acumulado_Productos[])))</f>
        <v>#NAME?</v>
      </c>
      <c r="K31" s="17" t="e">
        <f ca="1">+IF(AND($D$1=YEAR('Avance Cuantitativo Productos'!J32),'Panel de Control PRODUCTOS'!$D$2="Q1",MONTH('Avance Cuantitativo Productos'!J32)&lt;=3,OR('Avance Cuantitativo Productos'!I32="Mensual",'Avance Cuantitativo Productos'!I32="Bimestral",'Avance Cuantitativo Productos'!I32="Trimestral"),SUM(OFFSET('Avance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PRODUCTOS'!$D$2="Q2",MONTH('Avance Cuantitativo Productos'!J32)&lt;=6,OR('Avance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PRODUCTOS'!$D$2="Q3",MONTH('Avance Cuantitativo Productos'!J32)&lt;=9,OR('Avance Cuantitativo Productos'!I32="Mensual",'Avance Cuantitativo Productos'!I32="Bimestral",'Avance Cuantitativo Productos'!I32="Trimestral",'Avance Cuantitativo Productos'!I32="Semestral"),SUM(OFFSET('Avance Cuantitativo Productos'!N32,0,0,1,IF($D$2="Q1",_xlfn.XMATCH($D$1,'Avance Cuantitativo Productos'!$N$4:$AS$4,0),IF($D$2="Q2",_xlfn.XMATCH($D$1,'Avance Cuantitativo Productos'!$N$4:$AS$4,0)+1,IF($D$2="Q3",_xlfn.XMATCH($D$1,'Avance Cuantitativo Productos'!$N$4:$AS$4,0)+2,IF($D$2="Q4",_xlfn.XMATCH($D$1,'Avance Cuantitativo Productos'!$N$4:$AS$4,0)+3))))))=0),"Rojo",IF(AND($D$1=YEAR('Avance Cuantitativo Productos'!J32),'Panel de Control PRODUCTOS'!$D$2="Q4",MONTH('Avance Cuantitativo Productos'!J32)&lt;=12,OR('Avance Cuantitativo Productos'!I32="Mensual",'Avance Cuantitativo Productos'!I32="Bimestral",'Avance Cuantitativo Productos'!I32="Trimestral",'Avance Cuantitativo Productos'!I32="Semestral",'Avance Cuantitativo Productos'!I32="Anual"),SUM(OFFSET('Avance Cuantitativo Productos'!N32,0,0,1,IF($D$2="Q1",_xlfn.XMATCH($D$1,'Avance Cuantitativo Productos'!$N$4:$AS$4,0),IF($D$2="Q2",_xlfn.XMATCH($D$1,'Avance Cuantitativo Productos'!$N$4:$AS$4,0)+1,IF($D$2="Q3",_xlfn.XMATCH($D$1,'Avance Cuantitativo Productos'!$N$4:$AS$4,0)+2,IF($D$2="Q4",_xlfn.XMATCH($D$1,'Avance Cuantitativo Productos'!$N$4:$AS$4,0)+3))))))=0),"Rojo",IF(AND(YEAR('Avance Cuantitativo Productos'!J32)&lt;$D$1,ISERROR('Avance Cuantitativo Productos'!M32)=TRUE),"Rojo",IF(AND(YEAR('Avance Cuantitativo Productos'!J32)&gt;$D$1,ISERROR('Avance Cuantitativo Productos'!M32)=TRUE),"Verde",IF(J31&gt;=0.75,"Verde",IF(AND(J31&lt;0.75,J31&gt;=0.5),"Amarillo",IF(J31&lt;0.5,"Rojo")))))))))</f>
        <v>#NAME?</v>
      </c>
      <c r="L31" s="46" t="e">
        <f t="shared" ca="1" si="0"/>
        <v>#NAME?</v>
      </c>
      <c r="M31" s="26" t="e">
        <f ca="1">+IF(Panel_Control[[#This Row],[PAV. Ajustado (100%)]]="","",Panel_Control[[#This Row],[PAV. Ajustado (100%)]]*Panel_Control[[#This Row],[Ponderación relativa del Producto (%)]])</f>
        <v>#NAME?</v>
      </c>
      <c r="N31" s="46" t="e">
        <f t="shared" ca="1" si="1"/>
        <v>#NAME?</v>
      </c>
      <c r="O31" s="26" t="e">
        <f ca="1">+IF(Panel_Control[[#This Row],[Porcentaje de Avance Hasta la Vigencia (100%)]]="","",Panel_Control[[#This Row],[Porcentaje de Avance Hasta la Vigencia (100%)]]*Panel_Control[[#This Row],[Ponderación relativa del Producto (%)]])</f>
        <v>#NAME?</v>
      </c>
      <c r="P31" s="46" t="e">
        <f t="shared" ca="1" si="2"/>
        <v>#NAME?</v>
      </c>
      <c r="Q31" s="26" t="e">
        <f ca="1">+IF(Panel_Control[[#This Row],[PAA. (100%)]]="","",Panel_Control[[#This Row],[PAA. (100%)]]*Panel_Control[[#This Row],[Ponderación relativa del Producto (%)]])</f>
        <v>#NAME?</v>
      </c>
      <c r="R31" s="47" cm="1">
        <f t="array" ref="R31">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1</v>
      </c>
      <c r="S31" s="26">
        <f>+Panel_Control[[#This Row],[Trayectoria Acumulada (Avance ideal)]]*Panel_Control[[#This Row],[Ponderación relativa del Producto (%)]]</f>
        <v>0.05</v>
      </c>
    </row>
    <row r="32" spans="1:19" ht="43.2" x14ac:dyDescent="0.3">
      <c r="A32" s="16">
        <f>+'Avance Cuantitativo Productos'!A33</f>
        <v>28</v>
      </c>
      <c r="B32" s="16" t="str">
        <f>+'Avance Cuantitativo Productos'!B33</f>
        <v>5.</v>
      </c>
      <c r="C32" s="44" t="str">
        <f>+'Avance Cuantitativo Productos'!C33</f>
        <v>5.1.4. Parques y escenarios de administración directa del IDRD con oferta de conectividad digital para sus asistentes y el equipo técnico del IDRD.</v>
      </c>
      <c r="D32" s="44" t="str">
        <f>+'Avance Cuantitativo Productos'!E33</f>
        <v xml:space="preserve">Cultura, Recreación y Deporte </v>
      </c>
      <c r="E32" s="45">
        <f>IF(ISNA('Avance Cuantitativo Productos'!M33)=FALSE,'Avance Cuantitativo Productos'!F33,IF($D$1&gt;YEAR('Avance Cuantitativo Productos'!J33),'Avance Cuantitativo Productos'!F33,IF($D$1&lt;YEAR('Avance Cuantitativo Productos'!J33),0,IF(AND($D$1=YEAR('Avance Cuantitativo Productos'!J33),$D$2="Q1",OR('Avance Cuantitativo Productos'!I33&lt;&gt;"Mensual",'Avance Cuantitativo Productos'!I33&lt;&gt;"Bimestral",'Avance Cuantitativo Productos'!I33&lt;&gt;"Trimestral")),0,IF(AND($D$1=YEAR('Avance Cuantitativo Productos'!J33),$D$2="Q2",OR('Avance Cuantitativo Productos'!I33&lt;&gt;"Mensual",'Avance Cuantitativo Productos'!I33&lt;&gt;"Bimestral",'Avance Cuantitativo Productos'!I33&lt;&gt;"Trimestral",'Avance Cuantitativo Productos'!I33&lt;&gt;"Semestral")),0,IF(AND($D$1=YEAR('Avance Cuantitativo Productos'!J33),$D$2="Q3",OR('Avance Cuantitativo Productos'!I33&lt;&gt;"Mensual",'Avance Cuantitativo Productos'!I33&lt;&gt;"Bimestral",'Avance Cuantitativo Productos'!I33&lt;&gt;"Trimestral",'Avance Cuantitativo Productos'!I33&lt;&gt;"Semestral")),0,IF(AND($D$1=YEAR('Avance Cuantitativo Productos'!J33),$D$2="Q4",OR('Avance Cuantitativo Productos'!I33&lt;&gt;"Mensual",'Avance Cuantitativo Productos'!I33&lt;&gt;"Bimestral",'Avance Cuantitativo Productos'!I33&lt;&gt;"Trimestral",'Avance Cuantitativo Productos'!I33&lt;&gt;"Semestral",'Avance Cuantitativo Productos'!I33&lt;&gt;"Anual")),0,'Avance Cuantitativo Productos'!F33)))))))</f>
        <v>0.05</v>
      </c>
      <c r="F32" s="46" t="e" cm="1">
        <f t="array" aca="1" ref="F32" ca="1">+IF(AND(_xlfn.NUMBERVALUE($D$1)&gt;=YEAR('Avance Cuantitativo Productos'!J33),ISERROR('Avance Cuantitativo Productos'!M33)=TRUE,(OR(AND($D$2="Q1",MONTH('Avance Cuantitativo Productos'!J33)&lt;=3,OR('Avance Cuantitativo Productos'!I33="Mensual",'Avance Cuantitativo Productos'!I33="Bimestral",'Avance Cuantitativo Productos'!I33="Trimestral")),AND($D$2="Q2",MONTH('Avance Cuantitativo Productos'!J33)&lt;=6,OR('Avance Cuantitativo Productos'!I33="Mensual",'Avance Cuantitativo Productos'!I33="Bimestral",'Avance Cuantitativo Productos'!I33="Trimestral",'Avance Cuantitativo Productos'!I33="Semestral")),AND($D$2="Q3",MONTH('Avance Cuantitativo Productos'!J33)&lt;=9,OR('Avance Cuantitativo Productos'!I33="Mensual",'Avance Cuantitativo Productos'!I33="Bimestral",'Avance Cuantitativo Productos'!I33="Trimestral",'Avance Cuantitativo Productos'!I33="Semestral")),AND($D$2="Q4",MONTH('Avance Cuantitativo Productos'!J33)&lt;=12,OR('Avance Cuantitativo Productos'!I33="Mensual",'Avance Cuantitativo Productos'!I33="Bimestral",'Avance Cuantitativo Productos'!I33="Trimestral",'Avance Cuantitativo Productos'!I33="Semestral",'Avance Cuantitativo Productos'!I33="Anual"))))),0,_xlfn.XLOOKUP($D$1,TRANSPOSE(Anios_Reporte[Año de Reporte]),_xlfn.XLOOKUP(Panel_Control[[#This Row],[Producto '#]],Info_Productos_Cuantitativo[Producto No.],Avance_en_Vigencia_Productos[])))</f>
        <v>#NAME?</v>
      </c>
      <c r="G32" s="17" t="e">
        <f ca="1">+IF(AND($D$1=YEAR('Avance Cuantitativo Productos'!J33),'Panel de Control PRODUCTOS'!$D$2="Q1",OR('Avance Cuantitativo Productos'!I33="Mensual",'Avance Cuantitativo Productos'!I33="Bimestral",'Avance Cuantitativo Productos'!I33="Trimestral"),MONTH('Avance Cuantitativo Productos'!J33)&lt;=3,SUM(OFFSET('Avance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PRODUCTOS'!$D$2="Q2",MONTH('Avance Cuantitativo Productos'!J33)&lt;=6,OR('Avance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PRODUCTOS'!$D$2="Q3",MONTH('Avance Cuantitativo Productos'!J33)&lt;=9,OR('Avance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PRODUCTOS'!$D$2="Q4",MONTH('Avance Cuantitativo Productos'!J33)&lt;=12,OR('Avance Cuantitativo Productos'!I33="Mensual",'Avance Cuantitativo Productos'!I33="Bimestral",'Avance Cuantitativo Productos'!I33="Trimestral",'Avance Cuantitativo Productos'!I33="Semestral",'Avance Cuantitativo Productos'!I33="Anual"),SUM(OFFSET('Avance Cuantitativo Productos'!N33,0,0,1,IF($D$2="Q1",_xlfn.XMATCH($D$1,'Avance Cuantitativo Productos'!$N$4:$AS$4,0),IF($D$2="Q2",_xlfn.XMATCH($D$1,'Avance Cuantitativo Productos'!$N$4:$AS$4,0)+1,IF($D$2="Q3",_xlfn.XMATCH($D$1,'Avance Cuantitativo Productos'!$N$4:$AS$4,0)+2,IF($D$2="Q4",_xlfn.XMATCH($D$1,'Avance Cuantitativo Productos'!$N$4:$AS$4,0)+3)))))))=0,"Rojo",IF(F32&gt;=0.75,"Verde",IF(AND(F32&lt;0.75,F32&gt;=0.5),"Amarillo",IF(F32&lt;0.5,"Rojo","ERROR")))))))</f>
        <v>#NAME?</v>
      </c>
      <c r="H32" s="46" t="e" cm="1">
        <f t="array" aca="1" ref="H32" ca="1">+IF(AND(_xlfn.NUMBERVALUE($D$1)&gt;=YEAR('Avance Cuantitativo Productos'!J33),ISERROR('Avance Cuantitativo Productos'!M33)=TRUE,(OR(AND($D$2="Q1",MONTH('Avance Cuantitativo Productos'!J33)&lt;=3,OR('Avance Cuantitativo Productos'!I33="Mensual",'Avance Cuantitativo Productos'!I33="Bimestral",'Avance Cuantitativo Productos'!I33="Trimestral")),AND($D$2="Q2",MONTH('Avance Cuantitativo Productos'!J33)&lt;=6,OR('Avance Cuantitativo Productos'!I33="Mensual",'Avance Cuantitativo Productos'!I33="Bimestral",'Avance Cuantitativo Productos'!I33="Trimestral",'Avance Cuantitativo Productos'!I33="Semestral")),AND($D$2="Q3",MONTH('Avance Cuantitativo Productos'!J33)&lt;=9,OR('Avance Cuantitativo Productos'!I33="Mensual",'Avance Cuantitativo Productos'!I33="Bimestral",'Avance Cuantitativo Productos'!I33="Trimestral",'Avance Cuantitativo Productos'!I33="Semestral")),AND($D$2="Q4",MONTH('Avance Cuantitativo Productos'!J33)&lt;=12,OR('Avance Cuantitativo Productos'!I33="Mensual",'Avance Cuantitativo Productos'!I33="Bimestral",'Avance Cuantitativo Productos'!I33="Trimestral",'Avance Cuantitativo Productos'!I33="Semestral",'Avance Cuantitativo Productos'!I33="Anual"))))),0,_xlfn.XLOOKUP($D$1,TRANSPOSE(Anios_Reporte[Año de Reporte]),_xlfn.XLOOKUP(Panel_Control[[#This Row],[Producto '#]],Info_Productos_Cuantitativo[Producto No.],Avance_Hasta_Vigencia_Productos[])))</f>
        <v>#NAME?</v>
      </c>
      <c r="I32" s="16" t="e">
        <f ca="1">+IF(AND($D$1=YEAR('Avance Cuantitativo Productos'!J33),'Panel de Control PRODUCTOS'!$D$2="Q1",MONTH('Avance Cuantitativo Productos'!J33)&lt;=3,OR('Avance Cuantitativo Productos'!I33="Mensual",'Avance Cuantitativo Productos'!I33="Bimestral",'Avance Cuantitativo Productos'!I33="Trimestral"),SUM(OFFSET('Avance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PRODUCTOS'!$D$2="Q2",MONTH('Avance Cuantitativo Productos'!J33)&lt;=6,OR('Avance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PRODUCTOS'!$D$2="Q3",MONTH('Avance Cuantitativo Productos'!J33)&lt;=9,OR('Avance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PRODUCTOS'!$D$2="Q4",MONTH('Avance Cuantitativo Productos'!J33)&lt;=12,OR('Avance Cuantitativo Productos'!I33="Mensual",'Avance Cuantitativo Productos'!I33="Bimestral",'Avance Cuantitativo Productos'!I33="Trimestral",'Avance Cuantitativo Productos'!I33="Semestral",'Avance Cuantitativo Productos'!I33="Anual"),SUM(OFFSET('Avance Cuantitativo Productos'!N33,0,0,1,IF($D$2="Q1",_xlfn.XMATCH($D$1,'Avance Cuantitativo Productos'!$N$4:$AS$4,0),IF($D$2="Q2",_xlfn.XMATCH($D$1,'Avance Cuantitativo Productos'!$N$4:$AS$4,0)+1,IF($D$2="Q3",_xlfn.XMATCH($D$1,'Avance Cuantitativo Productos'!$N$4:$AS$4,0)+2,IF($D$2="Q4",_xlfn.XMATCH($D$1,'Avance Cuantitativo Productos'!$N$4:$AS$4,0)+3))))))=0),"Rojo",IF(AND(YEAR('Avance Cuantitativo Productos'!J33)&lt;$D$1,ISERROR('Avance Cuantitativo Productos'!M33)=TRUE),"Rojo",IF(AND(YEAR('Avance Cuantitativo Productos'!J33)&gt;$D$1,ISERROR('Avance Cuantitativo Productos'!M33)=TRUE),"Verde",IF(H32&gt;=0.75,"Verde",IF(AND(H32&lt;0.75,H32&gt;=0.5),"Amarillo",IF(H32&lt;0.5,"Rojo")))))))))</f>
        <v>#NAME?</v>
      </c>
      <c r="J32" s="46" t="e" cm="1">
        <f t="array" aca="1" ref="J32" ca="1">+IF(AND(_xlfn.NUMBERVALUE($D$1)&gt;=YEAR('Avance Cuantitativo Productos'!J33),ISERROR('Avance Cuantitativo Productos'!M33)=TRUE,(OR(AND($D$2="Q1",MONTH('Avance Cuantitativo Productos'!J33)&lt;=3,OR('Avance Cuantitativo Productos'!I33="Mensual",'Avance Cuantitativo Productos'!I33="Bimestral",'Avance Cuantitativo Productos'!I33="Trimestral")),AND($D$2="Q2",MONTH('Avance Cuantitativo Productos'!J33)&lt;=6,OR('Avance Cuantitativo Productos'!I33="Mensual",'Avance Cuantitativo Productos'!I33="Bimestral",'Avance Cuantitativo Productos'!I33="Trimestral",'Avance Cuantitativo Productos'!I33="Semestral")),AND($D$2="Q3",MONTH('Avance Cuantitativo Productos'!J33)&lt;=9,OR('Avance Cuantitativo Productos'!I33="Mensual",'Avance Cuantitativo Productos'!I33="Bimestral",'Avance Cuantitativo Productos'!I33="Trimestral",'Avance Cuantitativo Productos'!I33="Semestral")),AND($D$2="Q4",MONTH('Avance Cuantitativo Productos'!J33)&lt;=12,OR('Avance Cuantitativo Productos'!I33="Mensual",'Avance Cuantitativo Productos'!I33="Bimestral",'Avance Cuantitativo Productos'!I33="Trimestral",'Avance Cuantitativo Productos'!I33="Semestral",'Avance Cuantitativo Productos'!I33="Anual"))))),0,_xlfn.XLOOKUP($D$1,TRANSPOSE(Anios_Reporte[Año de Reporte]),_xlfn.XLOOKUP(Panel_Control[[#This Row],[Producto '#]],Info_Productos_Cuantitativo[Producto No.],Avance_Acumulado_Productos[])))</f>
        <v>#NAME?</v>
      </c>
      <c r="K32" s="17" t="e">
        <f ca="1">+IF(AND($D$1=YEAR('Avance Cuantitativo Productos'!J33),'Panel de Control PRODUCTOS'!$D$2="Q1",MONTH('Avance Cuantitativo Productos'!J33)&lt;=3,OR('Avance Cuantitativo Productos'!I33="Mensual",'Avance Cuantitativo Productos'!I33="Bimestral",'Avance Cuantitativo Productos'!I33="Trimestral"),SUM(OFFSET('Avance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PRODUCTOS'!$D$2="Q2",MONTH('Avance Cuantitativo Productos'!J33)&lt;=6,OR('Avance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PRODUCTOS'!$D$2="Q3",MONTH('Avance Cuantitativo Productos'!J33)&lt;=9,OR('Avance Cuantitativo Productos'!I33="Mensual",'Avance Cuantitativo Productos'!I33="Bimestral",'Avance Cuantitativo Productos'!I33="Trimestral",'Avance Cuantitativo Productos'!I33="Semestral"),SUM(OFFSET('Avance Cuantitativo Productos'!N33,0,0,1,IF($D$2="Q1",_xlfn.XMATCH($D$1,'Avance Cuantitativo Productos'!$N$4:$AS$4,0),IF($D$2="Q2",_xlfn.XMATCH($D$1,'Avance Cuantitativo Productos'!$N$4:$AS$4,0)+1,IF($D$2="Q3",_xlfn.XMATCH($D$1,'Avance Cuantitativo Productos'!$N$4:$AS$4,0)+2,IF($D$2="Q4",_xlfn.XMATCH($D$1,'Avance Cuantitativo Productos'!$N$4:$AS$4,0)+3))))))=0),"Rojo",IF(AND($D$1=YEAR('Avance Cuantitativo Productos'!J33),'Panel de Control PRODUCTOS'!$D$2="Q4",MONTH('Avance Cuantitativo Productos'!J33)&lt;=12,OR('Avance Cuantitativo Productos'!I33="Mensual",'Avance Cuantitativo Productos'!I33="Bimestral",'Avance Cuantitativo Productos'!I33="Trimestral",'Avance Cuantitativo Productos'!I33="Semestral",'Avance Cuantitativo Productos'!I33="Anual"),SUM(OFFSET('Avance Cuantitativo Productos'!N33,0,0,1,IF($D$2="Q1",_xlfn.XMATCH($D$1,'Avance Cuantitativo Productos'!$N$4:$AS$4,0),IF($D$2="Q2",_xlfn.XMATCH($D$1,'Avance Cuantitativo Productos'!$N$4:$AS$4,0)+1,IF($D$2="Q3",_xlfn.XMATCH($D$1,'Avance Cuantitativo Productos'!$N$4:$AS$4,0)+2,IF($D$2="Q4",_xlfn.XMATCH($D$1,'Avance Cuantitativo Productos'!$N$4:$AS$4,0)+3))))))=0),"Rojo",IF(AND(YEAR('Avance Cuantitativo Productos'!J33)&lt;$D$1,ISERROR('Avance Cuantitativo Productos'!M33)=TRUE),"Rojo",IF(AND(YEAR('Avance Cuantitativo Productos'!J33)&gt;$D$1,ISERROR('Avance Cuantitativo Productos'!M33)=TRUE),"Verde",IF(J32&gt;=0.75,"Verde",IF(AND(J32&lt;0.75,J32&gt;=0.5),"Amarillo",IF(J32&lt;0.5,"Rojo")))))))))</f>
        <v>#NAME?</v>
      </c>
      <c r="L32" s="46" t="e">
        <f t="shared" ca="1" si="0"/>
        <v>#NAME?</v>
      </c>
      <c r="M32" s="26" t="e">
        <f ca="1">+IF(Panel_Control[[#This Row],[PAV. Ajustado (100%)]]="","",Panel_Control[[#This Row],[PAV. Ajustado (100%)]]*Panel_Control[[#This Row],[Ponderación relativa del Producto (%)]])</f>
        <v>#NAME?</v>
      </c>
      <c r="N32" s="46" t="e">
        <f t="shared" ca="1" si="1"/>
        <v>#NAME?</v>
      </c>
      <c r="O32" s="26" t="e">
        <f ca="1">+IF(Panel_Control[[#This Row],[Porcentaje de Avance Hasta la Vigencia (100%)]]="","",Panel_Control[[#This Row],[Porcentaje de Avance Hasta la Vigencia (100%)]]*Panel_Control[[#This Row],[Ponderación relativa del Producto (%)]])</f>
        <v>#NAME?</v>
      </c>
      <c r="P32" s="46" t="e">
        <f t="shared" ca="1" si="2"/>
        <v>#NAME?</v>
      </c>
      <c r="Q32" s="26" t="e">
        <f ca="1">+IF(Panel_Control[[#This Row],[PAA. (100%)]]="","",Panel_Control[[#This Row],[PAA. (100%)]]*Panel_Control[[#This Row],[Ponderación relativa del Producto (%)]])</f>
        <v>#NAME?</v>
      </c>
      <c r="R32" s="47" cm="1">
        <f t="array" ref="R32">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7.8125E-2</v>
      </c>
      <c r="S32" s="26">
        <f>+Panel_Control[[#This Row],[Trayectoria Acumulada (Avance ideal)]]*Panel_Control[[#This Row],[Ponderación relativa del Producto (%)]]</f>
        <v>3.90625E-3</v>
      </c>
    </row>
    <row r="33" spans="1:19" ht="28.8" x14ac:dyDescent="0.3">
      <c r="A33" s="16">
        <f>+'Avance Cuantitativo Productos'!A34</f>
        <v>29</v>
      </c>
      <c r="B33" s="16" t="str">
        <f>+'Avance Cuantitativo Productos'!B34</f>
        <v>5.</v>
      </c>
      <c r="C33" s="44" t="str">
        <f>+'Avance Cuantitativo Productos'!C34</f>
        <v>5.2.1. Estrategias de adaptación y  mitigación del cambio climático implementadas en el  sistema de parques y escenarios.</v>
      </c>
      <c r="D33" s="44" t="str">
        <f>+'Avance Cuantitativo Productos'!E34</f>
        <v xml:space="preserve">Cultura, Recreación y Deporte </v>
      </c>
      <c r="E33" s="45">
        <f>IF(ISNA('Avance Cuantitativo Productos'!M34)=FALSE,'Avance Cuantitativo Productos'!F34,IF($D$1&gt;YEAR('Avance Cuantitativo Productos'!J34),'Avance Cuantitativo Productos'!F34,IF($D$1&lt;YEAR('Avance Cuantitativo Productos'!J34),0,IF(AND($D$1=YEAR('Avance Cuantitativo Productos'!J34),$D$2="Q1",OR('Avance Cuantitativo Productos'!I34&lt;&gt;"Mensual",'Avance Cuantitativo Productos'!I34&lt;&gt;"Bimestral",'Avance Cuantitativo Productos'!I34&lt;&gt;"Trimestral")),0,IF(AND($D$1=YEAR('Avance Cuantitativo Productos'!J34),$D$2="Q2",OR('Avance Cuantitativo Productos'!I34&lt;&gt;"Mensual",'Avance Cuantitativo Productos'!I34&lt;&gt;"Bimestral",'Avance Cuantitativo Productos'!I34&lt;&gt;"Trimestral",'Avance Cuantitativo Productos'!I34&lt;&gt;"Semestral")),0,IF(AND($D$1=YEAR('Avance Cuantitativo Productos'!J34),$D$2="Q3",OR('Avance Cuantitativo Productos'!I34&lt;&gt;"Mensual",'Avance Cuantitativo Productos'!I34&lt;&gt;"Bimestral",'Avance Cuantitativo Productos'!I34&lt;&gt;"Trimestral",'Avance Cuantitativo Productos'!I34&lt;&gt;"Semestral")),0,IF(AND($D$1=YEAR('Avance Cuantitativo Productos'!J34),$D$2="Q4",OR('Avance Cuantitativo Productos'!I34&lt;&gt;"Mensual",'Avance Cuantitativo Productos'!I34&lt;&gt;"Bimestral",'Avance Cuantitativo Productos'!I34&lt;&gt;"Trimestral",'Avance Cuantitativo Productos'!I34&lt;&gt;"Semestral",'Avance Cuantitativo Productos'!I34&lt;&gt;"Anual")),0,'Avance Cuantitativo Productos'!F34)))))))</f>
        <v>0.08</v>
      </c>
      <c r="F33" s="46" t="e" cm="1">
        <f t="array" aca="1" ref="F33" ca="1">+IF(AND(_xlfn.NUMBERVALUE($D$1)&gt;=YEAR('Avance Cuantitativo Productos'!J34),ISERROR('Avance Cuantitativo Productos'!M34)=TRUE,(OR(AND($D$2="Q1",MONTH('Avance Cuantitativo Productos'!J34)&lt;=3,OR('Avance Cuantitativo Productos'!I34="Mensual",'Avance Cuantitativo Productos'!I34="Bimestral",'Avance Cuantitativo Productos'!I34="Trimestral")),AND($D$2="Q2",MONTH('Avance Cuantitativo Productos'!J34)&lt;=6,OR('Avance Cuantitativo Productos'!I34="Mensual",'Avance Cuantitativo Productos'!I34="Bimestral",'Avance Cuantitativo Productos'!I34="Trimestral",'Avance Cuantitativo Productos'!I34="Semestral")),AND($D$2="Q3",MONTH('Avance Cuantitativo Productos'!J34)&lt;=9,OR('Avance Cuantitativo Productos'!I34="Mensual",'Avance Cuantitativo Productos'!I34="Bimestral",'Avance Cuantitativo Productos'!I34="Trimestral",'Avance Cuantitativo Productos'!I34="Semestral")),AND($D$2="Q4",MONTH('Avance Cuantitativo Productos'!J34)&lt;=12,OR('Avance Cuantitativo Productos'!I34="Mensual",'Avance Cuantitativo Productos'!I34="Bimestral",'Avance Cuantitativo Productos'!I34="Trimestral",'Avance Cuantitativo Productos'!I34="Semestral",'Avance Cuantitativo Productos'!I34="Anual"))))),0,_xlfn.XLOOKUP($D$1,TRANSPOSE(Anios_Reporte[Año de Reporte]),_xlfn.XLOOKUP(Panel_Control[[#This Row],[Producto '#]],Info_Productos_Cuantitativo[Producto No.],Avance_en_Vigencia_Productos[])))</f>
        <v>#NAME?</v>
      </c>
      <c r="G33" s="17" t="e">
        <f ca="1">+IF(AND($D$1=YEAR('Avance Cuantitativo Productos'!J34),'Panel de Control PRODUCTOS'!$D$2="Q1",OR('Avance Cuantitativo Productos'!I34="Mensual",'Avance Cuantitativo Productos'!I34="Bimestral",'Avance Cuantitativo Productos'!I34="Trimestral"),MONTH('Avance Cuantitativo Productos'!J34)&lt;=3,SUM(OFFSET('Avance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PRODUCTOS'!$D$2="Q2",MONTH('Avance Cuantitativo Productos'!J34)&lt;=6,OR('Avance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PRODUCTOS'!$D$2="Q3",MONTH('Avance Cuantitativo Productos'!J34)&lt;=9,OR('Avance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PRODUCTOS'!$D$2="Q4",MONTH('Avance Cuantitativo Productos'!J34)&lt;=12,OR('Avance Cuantitativo Productos'!I34="Mensual",'Avance Cuantitativo Productos'!I34="Bimestral",'Avance Cuantitativo Productos'!I34="Trimestral",'Avance Cuantitativo Productos'!I34="Semestral",'Avance Cuantitativo Productos'!I34="Anual"),SUM(OFFSET('Avance Cuantitativo Productos'!N34,0,0,1,IF($D$2="Q1",_xlfn.XMATCH($D$1,'Avance Cuantitativo Productos'!$N$4:$AS$4,0),IF($D$2="Q2",_xlfn.XMATCH($D$1,'Avance Cuantitativo Productos'!$N$4:$AS$4,0)+1,IF($D$2="Q3",_xlfn.XMATCH($D$1,'Avance Cuantitativo Productos'!$N$4:$AS$4,0)+2,IF($D$2="Q4",_xlfn.XMATCH($D$1,'Avance Cuantitativo Productos'!$N$4:$AS$4,0)+3)))))))=0,"Rojo",IF(F33&gt;=0.75,"Verde",IF(AND(F33&lt;0.75,F33&gt;=0.5),"Amarillo",IF(F33&lt;0.5,"Rojo","ERROR")))))))</f>
        <v>#NAME?</v>
      </c>
      <c r="H33" s="46" t="e" cm="1">
        <f t="array" aca="1" ref="H33" ca="1">+IF(AND(_xlfn.NUMBERVALUE($D$1)&gt;=YEAR('Avance Cuantitativo Productos'!J34),ISERROR('Avance Cuantitativo Productos'!M34)=TRUE,(OR(AND($D$2="Q1",MONTH('Avance Cuantitativo Productos'!J34)&lt;=3,OR('Avance Cuantitativo Productos'!I34="Mensual",'Avance Cuantitativo Productos'!I34="Bimestral",'Avance Cuantitativo Productos'!I34="Trimestral")),AND($D$2="Q2",MONTH('Avance Cuantitativo Productos'!J34)&lt;=6,OR('Avance Cuantitativo Productos'!I34="Mensual",'Avance Cuantitativo Productos'!I34="Bimestral",'Avance Cuantitativo Productos'!I34="Trimestral",'Avance Cuantitativo Productos'!I34="Semestral")),AND($D$2="Q3",MONTH('Avance Cuantitativo Productos'!J34)&lt;=9,OR('Avance Cuantitativo Productos'!I34="Mensual",'Avance Cuantitativo Productos'!I34="Bimestral",'Avance Cuantitativo Productos'!I34="Trimestral",'Avance Cuantitativo Productos'!I34="Semestral")),AND($D$2="Q4",MONTH('Avance Cuantitativo Productos'!J34)&lt;=12,OR('Avance Cuantitativo Productos'!I34="Mensual",'Avance Cuantitativo Productos'!I34="Bimestral",'Avance Cuantitativo Productos'!I34="Trimestral",'Avance Cuantitativo Productos'!I34="Semestral",'Avance Cuantitativo Productos'!I34="Anual"))))),0,_xlfn.XLOOKUP($D$1,TRANSPOSE(Anios_Reporte[Año de Reporte]),_xlfn.XLOOKUP(Panel_Control[[#This Row],[Producto '#]],Info_Productos_Cuantitativo[Producto No.],Avance_Hasta_Vigencia_Productos[])))</f>
        <v>#NAME?</v>
      </c>
      <c r="I33" s="16" t="e">
        <f ca="1">+IF(AND($D$1=YEAR('Avance Cuantitativo Productos'!J34),'Panel de Control PRODUCTOS'!$D$2="Q1",MONTH('Avance Cuantitativo Productos'!J34)&lt;=3,OR('Avance Cuantitativo Productos'!I34="Mensual",'Avance Cuantitativo Productos'!I34="Bimestral",'Avance Cuantitativo Productos'!I34="Trimestral"),SUM(OFFSET('Avance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PRODUCTOS'!$D$2="Q2",MONTH('Avance Cuantitativo Productos'!J34)&lt;=6,OR('Avance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PRODUCTOS'!$D$2="Q3",MONTH('Avance Cuantitativo Productos'!J34)&lt;=9,OR('Avance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PRODUCTOS'!$D$2="Q4",MONTH('Avance Cuantitativo Productos'!J34)&lt;=12,OR('Avance Cuantitativo Productos'!I34="Mensual",'Avance Cuantitativo Productos'!I34="Bimestral",'Avance Cuantitativo Productos'!I34="Trimestral",'Avance Cuantitativo Productos'!I34="Semestral",'Avance Cuantitativo Productos'!I34="Anual"),SUM(OFFSET('Avance Cuantitativo Productos'!N34,0,0,1,IF($D$2="Q1",_xlfn.XMATCH($D$1,'Avance Cuantitativo Productos'!$N$4:$AS$4,0),IF($D$2="Q2",_xlfn.XMATCH($D$1,'Avance Cuantitativo Productos'!$N$4:$AS$4,0)+1,IF($D$2="Q3",_xlfn.XMATCH($D$1,'Avance Cuantitativo Productos'!$N$4:$AS$4,0)+2,IF($D$2="Q4",_xlfn.XMATCH($D$1,'Avance Cuantitativo Productos'!$N$4:$AS$4,0)+3))))))=0),"Rojo",IF(AND(YEAR('Avance Cuantitativo Productos'!J34)&lt;$D$1,ISERROR('Avance Cuantitativo Productos'!M34)=TRUE),"Rojo",IF(AND(YEAR('Avance Cuantitativo Productos'!J34)&gt;$D$1,ISERROR('Avance Cuantitativo Productos'!M34)=TRUE),"Verde",IF(H33&gt;=0.75,"Verde",IF(AND(H33&lt;0.75,H33&gt;=0.5),"Amarillo",IF(H33&lt;0.5,"Rojo")))))))))</f>
        <v>#NAME?</v>
      </c>
      <c r="J33" s="46" t="e" cm="1">
        <f t="array" aca="1" ref="J33" ca="1">+IF(AND(_xlfn.NUMBERVALUE($D$1)&gt;=YEAR('Avance Cuantitativo Productos'!J34),ISERROR('Avance Cuantitativo Productos'!M34)=TRUE,(OR(AND($D$2="Q1",MONTH('Avance Cuantitativo Productos'!J34)&lt;=3,OR('Avance Cuantitativo Productos'!I34="Mensual",'Avance Cuantitativo Productos'!I34="Bimestral",'Avance Cuantitativo Productos'!I34="Trimestral")),AND($D$2="Q2",MONTH('Avance Cuantitativo Productos'!J34)&lt;=6,OR('Avance Cuantitativo Productos'!I34="Mensual",'Avance Cuantitativo Productos'!I34="Bimestral",'Avance Cuantitativo Productos'!I34="Trimestral",'Avance Cuantitativo Productos'!I34="Semestral")),AND($D$2="Q3",MONTH('Avance Cuantitativo Productos'!J34)&lt;=9,OR('Avance Cuantitativo Productos'!I34="Mensual",'Avance Cuantitativo Productos'!I34="Bimestral",'Avance Cuantitativo Productos'!I34="Trimestral",'Avance Cuantitativo Productos'!I34="Semestral")),AND($D$2="Q4",MONTH('Avance Cuantitativo Productos'!J34)&lt;=12,OR('Avance Cuantitativo Productos'!I34="Mensual",'Avance Cuantitativo Productos'!I34="Bimestral",'Avance Cuantitativo Productos'!I34="Trimestral",'Avance Cuantitativo Productos'!I34="Semestral",'Avance Cuantitativo Productos'!I34="Anual"))))),0,_xlfn.XLOOKUP($D$1,TRANSPOSE(Anios_Reporte[Año de Reporte]),_xlfn.XLOOKUP(Panel_Control[[#This Row],[Producto '#]],Info_Productos_Cuantitativo[Producto No.],Avance_Acumulado_Productos[])))</f>
        <v>#NAME?</v>
      </c>
      <c r="K33" s="17" t="e">
        <f ca="1">+IF(AND($D$1=YEAR('Avance Cuantitativo Productos'!J34),'Panel de Control PRODUCTOS'!$D$2="Q1",MONTH('Avance Cuantitativo Productos'!J34)&lt;=3,OR('Avance Cuantitativo Productos'!I34="Mensual",'Avance Cuantitativo Productos'!I34="Bimestral",'Avance Cuantitativo Productos'!I34="Trimestral"),SUM(OFFSET('Avance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PRODUCTOS'!$D$2="Q2",MONTH('Avance Cuantitativo Productos'!J34)&lt;=6,OR('Avance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PRODUCTOS'!$D$2="Q3",MONTH('Avance Cuantitativo Productos'!J34)&lt;=9,OR('Avance Cuantitativo Productos'!I34="Mensual",'Avance Cuantitativo Productos'!I34="Bimestral",'Avance Cuantitativo Productos'!I34="Trimestral",'Avance Cuantitativo Productos'!I34="Semestral"),SUM(OFFSET('Avance Cuantitativo Productos'!N34,0,0,1,IF($D$2="Q1",_xlfn.XMATCH($D$1,'Avance Cuantitativo Productos'!$N$4:$AS$4,0),IF($D$2="Q2",_xlfn.XMATCH($D$1,'Avance Cuantitativo Productos'!$N$4:$AS$4,0)+1,IF($D$2="Q3",_xlfn.XMATCH($D$1,'Avance Cuantitativo Productos'!$N$4:$AS$4,0)+2,IF($D$2="Q4",_xlfn.XMATCH($D$1,'Avance Cuantitativo Productos'!$N$4:$AS$4,0)+3))))))=0),"Rojo",IF(AND($D$1=YEAR('Avance Cuantitativo Productos'!J34),'Panel de Control PRODUCTOS'!$D$2="Q4",MONTH('Avance Cuantitativo Productos'!J34)&lt;=12,OR('Avance Cuantitativo Productos'!I34="Mensual",'Avance Cuantitativo Productos'!I34="Bimestral",'Avance Cuantitativo Productos'!I34="Trimestral",'Avance Cuantitativo Productos'!I34="Semestral",'Avance Cuantitativo Productos'!I34="Anual"),SUM(OFFSET('Avance Cuantitativo Productos'!N34,0,0,1,IF($D$2="Q1",_xlfn.XMATCH($D$1,'Avance Cuantitativo Productos'!$N$4:$AS$4,0),IF($D$2="Q2",_xlfn.XMATCH($D$1,'Avance Cuantitativo Productos'!$N$4:$AS$4,0)+1,IF($D$2="Q3",_xlfn.XMATCH($D$1,'Avance Cuantitativo Productos'!$N$4:$AS$4,0)+2,IF($D$2="Q4",_xlfn.XMATCH($D$1,'Avance Cuantitativo Productos'!$N$4:$AS$4,0)+3))))))=0),"Rojo",IF(AND(YEAR('Avance Cuantitativo Productos'!J34)&lt;$D$1,ISERROR('Avance Cuantitativo Productos'!M34)=TRUE),"Rojo",IF(AND(YEAR('Avance Cuantitativo Productos'!J34)&gt;$D$1,ISERROR('Avance Cuantitativo Productos'!M34)=TRUE),"Verde",IF(J33&gt;=0.75,"Verde",IF(AND(J33&lt;0.75,J33&gt;=0.5),"Amarillo",IF(J33&lt;0.5,"Rojo")))))))))</f>
        <v>#NAME?</v>
      </c>
      <c r="L33" s="46" t="e">
        <f t="shared" ca="1" si="0"/>
        <v>#NAME?</v>
      </c>
      <c r="M33" s="26" t="e">
        <f ca="1">+IF(Panel_Control[[#This Row],[PAV. Ajustado (100%)]]="","",Panel_Control[[#This Row],[PAV. Ajustado (100%)]]*Panel_Control[[#This Row],[Ponderación relativa del Producto (%)]])</f>
        <v>#NAME?</v>
      </c>
      <c r="N33" s="46" t="e">
        <f t="shared" ca="1" si="1"/>
        <v>#NAME?</v>
      </c>
      <c r="O33" s="26" t="e">
        <f ca="1">+IF(Panel_Control[[#This Row],[Porcentaje de Avance Hasta la Vigencia (100%)]]="","",Panel_Control[[#This Row],[Porcentaje de Avance Hasta la Vigencia (100%)]]*Panel_Control[[#This Row],[Ponderación relativa del Producto (%)]])</f>
        <v>#NAME?</v>
      </c>
      <c r="P33" s="46" t="e">
        <f t="shared" ca="1" si="2"/>
        <v>#NAME?</v>
      </c>
      <c r="Q33" s="26" t="e">
        <f ca="1">+IF(Panel_Control[[#This Row],[PAA. (100%)]]="","",Panel_Control[[#This Row],[PAA. (100%)]]*Panel_Control[[#This Row],[Ponderación relativa del Producto (%)]])</f>
        <v>#NAME?</v>
      </c>
      <c r="R33" s="47" cm="1">
        <f t="array" ref="R33">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0.19148936170212766</v>
      </c>
      <c r="S33" s="26">
        <f>+Panel_Control[[#This Row],[Trayectoria Acumulada (Avance ideal)]]*Panel_Control[[#This Row],[Ponderación relativa del Producto (%)]]</f>
        <v>1.5319148936170214E-2</v>
      </c>
    </row>
    <row r="34" spans="1:19" ht="28.8" x14ac:dyDescent="0.3">
      <c r="A34" s="16">
        <f>+'Avance Cuantitativo Productos'!A35</f>
        <v>30</v>
      </c>
      <c r="B34" s="16" t="str">
        <f>+'Avance Cuantitativo Productos'!B35</f>
        <v>5.</v>
      </c>
      <c r="C34" s="44" t="str">
        <f>+'Avance Cuantitativo Productos'!C35</f>
        <v>5.2.2 Intervenciones de siembra, cuidado y mantenimiento del arbolado en los parques existentes</v>
      </c>
      <c r="D34" s="44" t="str">
        <f>+'Avance Cuantitativo Productos'!E35</f>
        <v>Ambiente</v>
      </c>
      <c r="E34" s="45">
        <f>IF(ISNA('Avance Cuantitativo Productos'!M35)=FALSE,'Avance Cuantitativo Productos'!F35,IF($D$1&gt;YEAR('Avance Cuantitativo Productos'!J35),'Avance Cuantitativo Productos'!F35,IF($D$1&lt;YEAR('Avance Cuantitativo Productos'!J35),0,IF(AND($D$1=YEAR('Avance Cuantitativo Productos'!J35),$D$2="Q1",OR('Avance Cuantitativo Productos'!I35&lt;&gt;"Mensual",'Avance Cuantitativo Productos'!I35&lt;&gt;"Bimestral",'Avance Cuantitativo Productos'!I35&lt;&gt;"Trimestral")),0,IF(AND($D$1=YEAR('Avance Cuantitativo Productos'!J35),$D$2="Q2",OR('Avance Cuantitativo Productos'!I35&lt;&gt;"Mensual",'Avance Cuantitativo Productos'!I35&lt;&gt;"Bimestral",'Avance Cuantitativo Productos'!I35&lt;&gt;"Trimestral",'Avance Cuantitativo Productos'!I35&lt;&gt;"Semestral")),0,IF(AND($D$1=YEAR('Avance Cuantitativo Productos'!J35),$D$2="Q3",OR('Avance Cuantitativo Productos'!I35&lt;&gt;"Mensual",'Avance Cuantitativo Productos'!I35&lt;&gt;"Bimestral",'Avance Cuantitativo Productos'!I35&lt;&gt;"Trimestral",'Avance Cuantitativo Productos'!I35&lt;&gt;"Semestral")),0,IF(AND($D$1=YEAR('Avance Cuantitativo Productos'!J35),$D$2="Q4",OR('Avance Cuantitativo Productos'!I35&lt;&gt;"Mensual",'Avance Cuantitativo Productos'!I35&lt;&gt;"Bimestral",'Avance Cuantitativo Productos'!I35&lt;&gt;"Trimestral",'Avance Cuantitativo Productos'!I35&lt;&gt;"Semestral",'Avance Cuantitativo Productos'!I35&lt;&gt;"Anual")),0,'Avance Cuantitativo Productos'!F35)))))))</f>
        <v>7.0000000000000007E-2</v>
      </c>
      <c r="F34" s="46" t="e" cm="1">
        <f t="array" aca="1" ref="F34" ca="1">+IF(AND(_xlfn.NUMBERVALUE($D$1)&gt;=YEAR('Avance Cuantitativo Productos'!J35),ISERROR('Avance Cuantitativo Productos'!M35)=TRUE,(OR(AND($D$2="Q1",MONTH('Avance Cuantitativo Productos'!J35)&lt;=3,OR('Avance Cuantitativo Productos'!I35="Mensual",'Avance Cuantitativo Productos'!I35="Bimestral",'Avance Cuantitativo Productos'!I35="Trimestral")),AND($D$2="Q2",MONTH('Avance Cuantitativo Productos'!J35)&lt;=6,OR('Avance Cuantitativo Productos'!I35="Mensual",'Avance Cuantitativo Productos'!I35="Bimestral",'Avance Cuantitativo Productos'!I35="Trimestral",'Avance Cuantitativo Productos'!I35="Semestral")),AND($D$2="Q3",MONTH('Avance Cuantitativo Productos'!J35)&lt;=9,OR('Avance Cuantitativo Productos'!I35="Mensual",'Avance Cuantitativo Productos'!I35="Bimestral",'Avance Cuantitativo Productos'!I35="Trimestral",'Avance Cuantitativo Productos'!I35="Semestral")),AND($D$2="Q4",MONTH('Avance Cuantitativo Productos'!J35)&lt;=12,OR('Avance Cuantitativo Productos'!I35="Mensual",'Avance Cuantitativo Productos'!I35="Bimestral",'Avance Cuantitativo Productos'!I35="Trimestral",'Avance Cuantitativo Productos'!I35="Semestral",'Avance Cuantitativo Productos'!I35="Anual"))))),0,_xlfn.XLOOKUP($D$1,TRANSPOSE(Anios_Reporte[Año de Reporte]),_xlfn.XLOOKUP(Panel_Control[[#This Row],[Producto '#]],Info_Productos_Cuantitativo[Producto No.],Avance_en_Vigencia_Productos[])))</f>
        <v>#NAME?</v>
      </c>
      <c r="G34" s="17" t="e">
        <f ca="1">+IF(AND($D$1=YEAR('Avance Cuantitativo Productos'!J35),'Panel de Control PRODUCTOS'!$D$2="Q1",OR('Avance Cuantitativo Productos'!I35="Mensual",'Avance Cuantitativo Productos'!I35="Bimestral",'Avance Cuantitativo Productos'!I35="Trimestral"),MONTH('Avance Cuantitativo Productos'!J35)&lt;=3,SUM(OFFSET('Avance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PRODUCTOS'!$D$2="Q2",MONTH('Avance Cuantitativo Productos'!J35)&lt;=6,OR('Avance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PRODUCTOS'!$D$2="Q3",MONTH('Avance Cuantitativo Productos'!J35)&lt;=9,OR('Avance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PRODUCTOS'!$D$2="Q4",MONTH('Avance Cuantitativo Productos'!J35)&lt;=12,OR('Avance Cuantitativo Productos'!I35="Mensual",'Avance Cuantitativo Productos'!I35="Bimestral",'Avance Cuantitativo Productos'!I35="Trimestral",'Avance Cuantitativo Productos'!I35="Semestral",'Avance Cuantitativo Productos'!I35="Anual"),SUM(OFFSET('Avance Cuantitativo Productos'!N35,0,0,1,IF($D$2="Q1",_xlfn.XMATCH($D$1,'Avance Cuantitativo Productos'!$N$4:$AS$4,0),IF($D$2="Q2",_xlfn.XMATCH($D$1,'Avance Cuantitativo Productos'!$N$4:$AS$4,0)+1,IF($D$2="Q3",_xlfn.XMATCH($D$1,'Avance Cuantitativo Productos'!$N$4:$AS$4,0)+2,IF($D$2="Q4",_xlfn.XMATCH($D$1,'Avance Cuantitativo Productos'!$N$4:$AS$4,0)+3)))))))=0,"Rojo",IF(F34&gt;=0.75,"Verde",IF(AND(F34&lt;0.75,F34&gt;=0.5),"Amarillo",IF(F34&lt;0.5,"Rojo","ERROR")))))))</f>
        <v>#NAME?</v>
      </c>
      <c r="H34" s="46" t="e" cm="1">
        <f t="array" aca="1" ref="H34" ca="1">+IF(AND(_xlfn.NUMBERVALUE($D$1)&gt;=YEAR('Avance Cuantitativo Productos'!J35),ISERROR('Avance Cuantitativo Productos'!M35)=TRUE,(OR(AND($D$2="Q1",MONTH('Avance Cuantitativo Productos'!J35)&lt;=3,OR('Avance Cuantitativo Productos'!I35="Mensual",'Avance Cuantitativo Productos'!I35="Bimestral",'Avance Cuantitativo Productos'!I35="Trimestral")),AND($D$2="Q2",MONTH('Avance Cuantitativo Productos'!J35)&lt;=6,OR('Avance Cuantitativo Productos'!I35="Mensual",'Avance Cuantitativo Productos'!I35="Bimestral",'Avance Cuantitativo Productos'!I35="Trimestral",'Avance Cuantitativo Productos'!I35="Semestral")),AND($D$2="Q3",MONTH('Avance Cuantitativo Productos'!J35)&lt;=9,OR('Avance Cuantitativo Productos'!I35="Mensual",'Avance Cuantitativo Productos'!I35="Bimestral",'Avance Cuantitativo Productos'!I35="Trimestral",'Avance Cuantitativo Productos'!I35="Semestral")),AND($D$2="Q4",MONTH('Avance Cuantitativo Productos'!J35)&lt;=12,OR('Avance Cuantitativo Productos'!I35="Mensual",'Avance Cuantitativo Productos'!I35="Bimestral",'Avance Cuantitativo Productos'!I35="Trimestral",'Avance Cuantitativo Productos'!I35="Semestral",'Avance Cuantitativo Productos'!I35="Anual"))))),0,_xlfn.XLOOKUP($D$1,TRANSPOSE(Anios_Reporte[Año de Reporte]),_xlfn.XLOOKUP(Panel_Control[[#This Row],[Producto '#]],Info_Productos_Cuantitativo[Producto No.],Avance_Hasta_Vigencia_Productos[])))</f>
        <v>#NAME?</v>
      </c>
      <c r="I34" s="16" t="e">
        <f ca="1">+IF(AND($D$1=YEAR('Avance Cuantitativo Productos'!J35),'Panel de Control PRODUCTOS'!$D$2="Q1",MONTH('Avance Cuantitativo Productos'!J35)&lt;=3,OR('Avance Cuantitativo Productos'!I35="Mensual",'Avance Cuantitativo Productos'!I35="Bimestral",'Avance Cuantitativo Productos'!I35="Trimestral"),SUM(OFFSET('Avance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PRODUCTOS'!$D$2="Q2",MONTH('Avance Cuantitativo Productos'!J35)&lt;=6,OR('Avance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PRODUCTOS'!$D$2="Q3",MONTH('Avance Cuantitativo Productos'!J35)&lt;=9,OR('Avance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PRODUCTOS'!$D$2="Q4",MONTH('Avance Cuantitativo Productos'!J35)&lt;=12,OR('Avance Cuantitativo Productos'!I35="Mensual",'Avance Cuantitativo Productos'!I35="Bimestral",'Avance Cuantitativo Productos'!I35="Trimestral",'Avance Cuantitativo Productos'!I35="Semestral",'Avance Cuantitativo Productos'!I35="Anual"),SUM(OFFSET('Avance Cuantitativo Productos'!N35,0,0,1,IF($D$2="Q1",_xlfn.XMATCH($D$1,'Avance Cuantitativo Productos'!$N$4:$AS$4,0),IF($D$2="Q2",_xlfn.XMATCH($D$1,'Avance Cuantitativo Productos'!$N$4:$AS$4,0)+1,IF($D$2="Q3",_xlfn.XMATCH($D$1,'Avance Cuantitativo Productos'!$N$4:$AS$4,0)+2,IF($D$2="Q4",_xlfn.XMATCH($D$1,'Avance Cuantitativo Productos'!$N$4:$AS$4,0)+3))))))=0),"Rojo",IF(AND(YEAR('Avance Cuantitativo Productos'!J35)&lt;$D$1,ISERROR('Avance Cuantitativo Productos'!M35)=TRUE),"Rojo",IF(AND(YEAR('Avance Cuantitativo Productos'!J35)&gt;$D$1,ISERROR('Avance Cuantitativo Productos'!M35)=TRUE),"Verde",IF(H34&gt;=0.75,"Verde",IF(AND(H34&lt;0.75,H34&gt;=0.5),"Amarillo",IF(H34&lt;0.5,"Rojo")))))))))</f>
        <v>#NAME?</v>
      </c>
      <c r="J34" s="46" t="e" cm="1">
        <f t="array" aca="1" ref="J34" ca="1">+IF(AND(_xlfn.NUMBERVALUE($D$1)&gt;=YEAR('Avance Cuantitativo Productos'!J35),ISERROR('Avance Cuantitativo Productos'!M35)=TRUE,(OR(AND($D$2="Q1",MONTH('Avance Cuantitativo Productos'!J35)&lt;=3,OR('Avance Cuantitativo Productos'!I35="Mensual",'Avance Cuantitativo Productos'!I35="Bimestral",'Avance Cuantitativo Productos'!I35="Trimestral")),AND($D$2="Q2",MONTH('Avance Cuantitativo Productos'!J35)&lt;=6,OR('Avance Cuantitativo Productos'!I35="Mensual",'Avance Cuantitativo Productos'!I35="Bimestral",'Avance Cuantitativo Productos'!I35="Trimestral",'Avance Cuantitativo Productos'!I35="Semestral")),AND($D$2="Q3",MONTH('Avance Cuantitativo Productos'!J35)&lt;=9,OR('Avance Cuantitativo Productos'!I35="Mensual",'Avance Cuantitativo Productos'!I35="Bimestral",'Avance Cuantitativo Productos'!I35="Trimestral",'Avance Cuantitativo Productos'!I35="Semestral")),AND($D$2="Q4",MONTH('Avance Cuantitativo Productos'!J35)&lt;=12,OR('Avance Cuantitativo Productos'!I35="Mensual",'Avance Cuantitativo Productos'!I35="Bimestral",'Avance Cuantitativo Productos'!I35="Trimestral",'Avance Cuantitativo Productos'!I35="Semestral",'Avance Cuantitativo Productos'!I35="Anual"))))),0,_xlfn.XLOOKUP($D$1,TRANSPOSE(Anios_Reporte[Año de Reporte]),_xlfn.XLOOKUP(Panel_Control[[#This Row],[Producto '#]],Info_Productos_Cuantitativo[Producto No.],Avance_Acumulado_Productos[])))</f>
        <v>#NAME?</v>
      </c>
      <c r="K34" s="17" t="e">
        <f ca="1">+IF(AND($D$1=YEAR('Avance Cuantitativo Productos'!J35),'Panel de Control PRODUCTOS'!$D$2="Q1",MONTH('Avance Cuantitativo Productos'!J35)&lt;=3,OR('Avance Cuantitativo Productos'!I35="Mensual",'Avance Cuantitativo Productos'!I35="Bimestral",'Avance Cuantitativo Productos'!I35="Trimestral"),SUM(OFFSET('Avance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PRODUCTOS'!$D$2="Q2",MONTH('Avance Cuantitativo Productos'!J35)&lt;=6,OR('Avance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PRODUCTOS'!$D$2="Q3",MONTH('Avance Cuantitativo Productos'!J35)&lt;=9,OR('Avance Cuantitativo Productos'!I35="Mensual",'Avance Cuantitativo Productos'!I35="Bimestral",'Avance Cuantitativo Productos'!I35="Trimestral",'Avance Cuantitativo Productos'!I35="Semestral"),SUM(OFFSET('Avance Cuantitativo Productos'!N35,0,0,1,IF($D$2="Q1",_xlfn.XMATCH($D$1,'Avance Cuantitativo Productos'!$N$4:$AS$4,0),IF($D$2="Q2",_xlfn.XMATCH($D$1,'Avance Cuantitativo Productos'!$N$4:$AS$4,0)+1,IF($D$2="Q3",_xlfn.XMATCH($D$1,'Avance Cuantitativo Productos'!$N$4:$AS$4,0)+2,IF($D$2="Q4",_xlfn.XMATCH($D$1,'Avance Cuantitativo Productos'!$N$4:$AS$4,0)+3))))))=0),"Rojo",IF(AND($D$1=YEAR('Avance Cuantitativo Productos'!J35),'Panel de Control PRODUCTOS'!$D$2="Q4",MONTH('Avance Cuantitativo Productos'!J35)&lt;=12,OR('Avance Cuantitativo Productos'!I35="Mensual",'Avance Cuantitativo Productos'!I35="Bimestral",'Avance Cuantitativo Productos'!I35="Trimestral",'Avance Cuantitativo Productos'!I35="Semestral",'Avance Cuantitativo Productos'!I35="Anual"),SUM(OFFSET('Avance Cuantitativo Productos'!N35,0,0,1,IF($D$2="Q1",_xlfn.XMATCH($D$1,'Avance Cuantitativo Productos'!$N$4:$AS$4,0),IF($D$2="Q2",_xlfn.XMATCH($D$1,'Avance Cuantitativo Productos'!$N$4:$AS$4,0)+1,IF($D$2="Q3",_xlfn.XMATCH($D$1,'Avance Cuantitativo Productos'!$N$4:$AS$4,0)+2,IF($D$2="Q4",_xlfn.XMATCH($D$1,'Avance Cuantitativo Productos'!$N$4:$AS$4,0)+3))))))=0),"Rojo",IF(AND(YEAR('Avance Cuantitativo Productos'!J35)&lt;$D$1,ISERROR('Avance Cuantitativo Productos'!M35)=TRUE),"Rojo",IF(AND(YEAR('Avance Cuantitativo Productos'!J35)&gt;$D$1,ISERROR('Avance Cuantitativo Productos'!M35)=TRUE),"Verde",IF(J34&gt;=0.75,"Verde",IF(AND(J34&lt;0.75,J34&gt;=0.5),"Amarillo",IF(J34&lt;0.5,"Rojo")))))))))</f>
        <v>#NAME?</v>
      </c>
      <c r="L34" s="46" t="e">
        <f t="shared" ca="1" si="0"/>
        <v>#NAME?</v>
      </c>
      <c r="M34" s="26" t="e">
        <f ca="1">+IF(Panel_Control[[#This Row],[PAV. Ajustado (100%)]]="","",Panel_Control[[#This Row],[PAV. Ajustado (100%)]]*Panel_Control[[#This Row],[Ponderación relativa del Producto (%)]])</f>
        <v>#NAME?</v>
      </c>
      <c r="N34" s="46" t="e">
        <f t="shared" ca="1" si="1"/>
        <v>#NAME?</v>
      </c>
      <c r="O34" s="26" t="e">
        <f ca="1">+IF(Panel_Control[[#This Row],[Porcentaje de Avance Hasta la Vigencia (100%)]]="","",Panel_Control[[#This Row],[Porcentaje de Avance Hasta la Vigencia (100%)]]*Panel_Control[[#This Row],[Ponderación relativa del Producto (%)]])</f>
        <v>#NAME?</v>
      </c>
      <c r="P34" s="46" t="e">
        <f t="shared" ca="1" si="2"/>
        <v>#NAME?</v>
      </c>
      <c r="Q34" s="26" t="e">
        <f ca="1">+IF(Panel_Control[[#This Row],[PAA. (100%)]]="","",Panel_Control[[#This Row],[PAA. (100%)]]*Panel_Control[[#This Row],[Ponderación relativa del Producto (%)]])</f>
        <v>#NAME?</v>
      </c>
      <c r="R34" s="47" cm="1">
        <f t="array" ref="R34">IF(OR(_xlfn.XLOOKUP($D$1,TRANSPOSE(Anios_Reporte[Año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Final]))=""),0,IF(OR(_xlfn.XLOOKUP(Panel_Control[[#This Row],[Producto '#]],Info_Productos_Cuantitativo[Producto No.],Info_Productos_Cuantitativo[Tipo de anualización])="Creciente",_xlfn.XLOOKUP(Panel_Control[[#This Row],[Producto '#]],Info_Productos_Cuantitativo[Producto No.],Info_Productos_Cuantitativo[Tipo de anualización])="Decreciente"),(_xlfn.XLOOKUP($D$1,TRANSPOSE(Anios_Reporte[Año de Reporte]),_xlfn.XLOOKUP(Panel_Control[[#This Row],[Producto '#]],Info_Productos_Cuantitativo[Producto No.],Metas_Productos[[Acumulada 2018]:[Acumulada 2025]]))-_xlfn.XLOOKUP(Panel_Control[[#This Row],[Producto '#]],Info_Productos_Cuantitativo[Producto No.],Info_Productos_Cuantitativo[Valor Linea Base]))/(_xlfn.XLOOKUP(Metas_Productos[[#Headers],[Meta Final]],Metas_Productos[[#Headers],[Meta Final]],_xlfn.XLOOKUP(Panel_Control[[#This Row],[Producto '#]],Info_Productos_Cuantitativo[Producto No.],Metas_Productos[Meta Final]))-_xlfn.XLOOKUP(Panel_Control[[#This Row],[Producto '#]],Info_Productos_Cuantitativo[Producto No.],Info_Productos_Cuantitativo[Valor Linea Base])),_xlfn.XLOOKUP($D$1,TRANSPOSE(Anios_Reporte[Año de Reporte]),_xlfn.XLOOKUP(Panel_Control[[#This Row],[Producto '#]],Info_Productos_Cuantitativo[Producto No.],Metas_Productos[[Acumulada 2018]:[Acumulada 2025]]))/_xlfn.XLOOKUP(Metas_Productos[[#Headers],[Meta Final]],Metas_Productos[[#Headers],[Meta Final]],_xlfn.XLOOKUP(Panel_Control[[#This Row],[Producto '#]],Info_Productos_Cuantitativo[Producto No.],Metas_Productos[Meta Final]))))</f>
        <v>1</v>
      </c>
      <c r="S34" s="26">
        <f>+Panel_Control[[#This Row],[Trayectoria Acumulada (Avance ideal)]]*Panel_Control[[#This Row],[Ponderación relativa del Producto (%)]]</f>
        <v>7.0000000000000007E-2</v>
      </c>
    </row>
  </sheetData>
  <sheetProtection formatCells="0" formatColumns="0" insertRows="0" deleteRows="0" sort="0" autoFilter="0"/>
  <mergeCells count="7">
    <mergeCell ref="R3:S3"/>
    <mergeCell ref="F3:G3"/>
    <mergeCell ref="J3:K3"/>
    <mergeCell ref="H3:I3"/>
    <mergeCell ref="L3:M3"/>
    <mergeCell ref="P3:Q3"/>
    <mergeCell ref="N3:O3"/>
  </mergeCells>
  <conditionalFormatting sqref="G5:I34">
    <cfRule type="cellIs" dxfId="208" priority="9" operator="equal">
      <formula>"Rojo"</formula>
    </cfRule>
    <cfRule type="cellIs" dxfId="207" priority="8" operator="equal">
      <formula>"Verde"</formula>
    </cfRule>
    <cfRule type="cellIs" dxfId="206" priority="7" operator="equal">
      <formula>"Amarillo"</formula>
    </cfRule>
  </conditionalFormatting>
  <conditionalFormatting sqref="I5:I34">
    <cfRule type="cellIs" dxfId="205" priority="1" operator="equal">
      <formula>"Amarillo"</formula>
    </cfRule>
    <cfRule type="cellIs" dxfId="204" priority="3" operator="equal">
      <formula>"Rojo"</formula>
    </cfRule>
    <cfRule type="cellIs" dxfId="203" priority="2" operator="equal">
      <formula>"Verde"</formula>
    </cfRule>
  </conditionalFormatting>
  <conditionalFormatting sqref="K5:K34">
    <cfRule type="cellIs" dxfId="202" priority="4" operator="equal">
      <formula>"Amarillo"</formula>
    </cfRule>
    <cfRule type="cellIs" dxfId="201" priority="6" operator="equal">
      <formula>"Rojo"</formula>
    </cfRule>
    <cfRule type="cellIs" dxfId="200" priority="5" operator="equal">
      <formula>"Verde"</formula>
    </cfRule>
  </conditionalFormatting>
  <dataValidations count="1">
    <dataValidation allowBlank="1" sqref="C4:E4 S4" xr:uid="{00000000-0002-0000-0300-000000000000}"/>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Listas!$K$2:$K$9</xm:f>
          </x14:formula1>
          <xm:sqref>D1</xm:sqref>
        </x14:dataValidation>
        <x14:dataValidation type="list" allowBlank="1" showInputMessage="1" showErrorMessage="1" xr:uid="{00000000-0002-0000-0300-000002000000}">
          <x14:formula1>
            <xm:f>Listas!$M$2:$M$5</xm:f>
          </x14:formula1>
          <xm:sqref>D2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4"/>
  </sheetPr>
  <dimension ref="B1:AO57"/>
  <sheetViews>
    <sheetView zoomScale="70" zoomScaleNormal="70" workbookViewId="0">
      <selection activeCell="H9" sqref="H9"/>
    </sheetView>
  </sheetViews>
  <sheetFormatPr baseColWidth="10" defaultColWidth="8.44140625" defaultRowHeight="14.4" x14ac:dyDescent="0.3"/>
  <cols>
    <col min="1" max="1" width="7.44140625" style="56" customWidth="1"/>
    <col min="2" max="2" width="19.109375" style="56" customWidth="1"/>
    <col min="3" max="3" width="10.88671875" style="56" customWidth="1"/>
    <col min="4" max="4" width="5.44140625" style="56" customWidth="1"/>
    <col min="5" max="5" width="21.21875" style="56" bestFit="1" customWidth="1"/>
    <col min="6" max="6" width="28.88671875" style="56" bestFit="1" customWidth="1"/>
    <col min="7" max="7" width="32.21875" style="56" bestFit="1" customWidth="1"/>
    <col min="8" max="8" width="18.88671875" style="56" bestFit="1" customWidth="1"/>
    <col min="9" max="9" width="40.88671875" style="56" bestFit="1" customWidth="1"/>
    <col min="10" max="10" width="9.109375" style="56" customWidth="1"/>
    <col min="11" max="11" width="39.44140625" style="56" customWidth="1"/>
    <col min="12" max="12" width="12" style="56" customWidth="1"/>
    <col min="13" max="14" width="12.44140625" style="56" customWidth="1"/>
    <col min="15" max="15" width="11" style="56" customWidth="1"/>
    <col min="16" max="16" width="12.44140625" style="56" customWidth="1"/>
    <col min="17" max="17" width="9.44140625" style="56" customWidth="1"/>
    <col min="18" max="18" width="7.44140625" style="56" customWidth="1"/>
    <col min="19" max="19" width="8" style="56" customWidth="1"/>
    <col min="20" max="20" width="13.44140625" style="56" customWidth="1"/>
    <col min="21" max="21" width="31.44140625" style="56" customWidth="1"/>
    <col min="22" max="22" width="18.44140625" style="56" customWidth="1"/>
    <col min="23" max="23" width="16.88671875" style="56" customWidth="1"/>
    <col min="24" max="24" width="17.44140625" style="56" customWidth="1"/>
    <col min="25" max="25" width="9.44140625" style="56" customWidth="1"/>
    <col min="26" max="26" width="13.109375" style="56" customWidth="1"/>
    <col min="27" max="27" width="14" style="56" customWidth="1"/>
    <col min="28" max="28" width="12.109375" style="56" customWidth="1"/>
    <col min="29" max="29" width="8" style="56" customWidth="1"/>
    <col min="30" max="30" width="30.44140625" style="56" bestFit="1" customWidth="1"/>
    <col min="31" max="31" width="26.109375" style="56" bestFit="1" customWidth="1"/>
    <col min="32" max="32" width="12.33203125" style="56" bestFit="1" customWidth="1"/>
    <col min="33" max="33" width="6.44140625" style="56" customWidth="1"/>
    <col min="34" max="34" width="12.88671875" style="56" customWidth="1"/>
    <col min="35" max="35" width="16.6640625" style="56" customWidth="1"/>
    <col min="36" max="36" width="32.6640625" style="56" bestFit="1" customWidth="1"/>
    <col min="37" max="37" width="26.109375" style="56" bestFit="1" customWidth="1"/>
    <col min="38" max="38" width="12.33203125" style="56" bestFit="1" customWidth="1"/>
    <col min="39" max="39" width="8.6640625" style="56" customWidth="1"/>
    <col min="40" max="40" width="12.88671875" style="56" customWidth="1"/>
    <col min="41" max="41" width="16.6640625" style="56" customWidth="1"/>
    <col min="42" max="16384" width="8.44140625" style="56"/>
  </cols>
  <sheetData>
    <row r="1" spans="2:41" ht="74.099999999999994" customHeight="1" thickBot="1" x14ac:dyDescent="0.35"/>
    <row r="2" spans="2:41" ht="15" thickBot="1" x14ac:dyDescent="0.35">
      <c r="B2" s="326" t="s">
        <v>597</v>
      </c>
      <c r="C2" s="327"/>
      <c r="E2" s="326" t="s">
        <v>598</v>
      </c>
      <c r="F2" s="328"/>
      <c r="G2" s="328"/>
      <c r="H2" s="328"/>
      <c r="I2" s="327"/>
      <c r="J2" s="57"/>
      <c r="K2" s="326" t="s">
        <v>599</v>
      </c>
      <c r="L2" s="328"/>
      <c r="M2" s="328"/>
      <c r="N2" s="328"/>
      <c r="O2" s="328"/>
      <c r="P2" s="328"/>
      <c r="Q2" s="328"/>
      <c r="R2" s="327"/>
      <c r="S2" s="57"/>
      <c r="T2" s="326" t="s">
        <v>600</v>
      </c>
      <c r="U2" s="328"/>
      <c r="V2" s="328"/>
      <c r="W2" s="328"/>
      <c r="X2" s="328"/>
      <c r="Y2" s="328"/>
      <c r="Z2" s="328"/>
      <c r="AA2" s="328"/>
      <c r="AB2" s="327"/>
      <c r="AC2" s="57"/>
      <c r="AD2" s="323" t="s">
        <v>601</v>
      </c>
      <c r="AE2" s="324"/>
      <c r="AF2" s="324"/>
      <c r="AG2" s="324"/>
      <c r="AH2" s="325"/>
      <c r="AJ2" s="323" t="s">
        <v>602</v>
      </c>
      <c r="AK2" s="324"/>
      <c r="AL2" s="324"/>
      <c r="AM2" s="324"/>
      <c r="AN2" s="325"/>
    </row>
    <row r="3" spans="2:41" ht="15" thickBot="1" x14ac:dyDescent="0.35"/>
    <row r="4" spans="2:41" ht="43.8" thickBot="1" x14ac:dyDescent="0.35">
      <c r="B4" s="329" t="s">
        <v>603</v>
      </c>
      <c r="C4" s="330"/>
      <c r="E4" s="333" t="s">
        <v>604</v>
      </c>
      <c r="F4" s="333" t="s">
        <v>605</v>
      </c>
      <c r="G4" s="333" t="s">
        <v>606</v>
      </c>
      <c r="H4" s="333" t="s">
        <v>607</v>
      </c>
      <c r="I4" s="333" t="s">
        <v>608</v>
      </c>
      <c r="J4" s="58"/>
      <c r="K4" s="59" t="s">
        <v>609</v>
      </c>
      <c r="L4" s="60" t="s">
        <v>610</v>
      </c>
      <c r="M4" s="61" t="s">
        <v>611</v>
      </c>
      <c r="N4" s="60" t="s">
        <v>612</v>
      </c>
      <c r="O4" s="60" t="s">
        <v>613</v>
      </c>
      <c r="P4" s="60" t="s">
        <v>614</v>
      </c>
      <c r="Q4" s="60" t="s">
        <v>615</v>
      </c>
      <c r="R4" s="62" t="s">
        <v>616</v>
      </c>
      <c r="S4" s="58"/>
      <c r="T4" s="63" t="s">
        <v>604</v>
      </c>
      <c r="U4" s="63" t="s">
        <v>617</v>
      </c>
      <c r="V4" s="64" t="s">
        <v>610</v>
      </c>
      <c r="W4" s="65" t="s">
        <v>618</v>
      </c>
      <c r="X4" s="64" t="s">
        <v>612</v>
      </c>
      <c r="Y4" s="64" t="s">
        <v>613</v>
      </c>
      <c r="Z4" s="64" t="s">
        <v>614</v>
      </c>
      <c r="AA4" s="64" t="s">
        <v>615</v>
      </c>
      <c r="AB4" s="65" t="s">
        <v>616</v>
      </c>
      <c r="AC4" s="58"/>
      <c r="AD4" s="220" t="s">
        <v>619</v>
      </c>
      <c r="AE4" s="221" t="s">
        <v>620</v>
      </c>
      <c r="AF4" s="66"/>
      <c r="AG4"/>
      <c r="AH4"/>
      <c r="AI4"/>
      <c r="AJ4" s="220" t="s">
        <v>621</v>
      </c>
      <c r="AK4" s="221" t="s">
        <v>620</v>
      </c>
      <c r="AL4" s="66"/>
      <c r="AM4"/>
      <c r="AN4"/>
      <c r="AO4"/>
    </row>
    <row r="5" spans="2:41" ht="29.4" thickBot="1" x14ac:dyDescent="0.35">
      <c r="B5" s="331"/>
      <c r="C5" s="332"/>
      <c r="E5" s="334"/>
      <c r="F5" s="334"/>
      <c r="G5" s="334"/>
      <c r="H5" s="334"/>
      <c r="I5" s="334"/>
      <c r="J5" s="58"/>
      <c r="K5" s="67" t="s">
        <v>622</v>
      </c>
      <c r="L5" s="68" t="e">
        <f>+GETPIVOTDATA("Suma de Porcentaje Acumulado Ponderado ",$E$6)</f>
        <v>#NAME?</v>
      </c>
      <c r="M5" s="68">
        <f>+GETPIVOTDATA("Suma de Trayectoria Ponderada",$E$6)</f>
        <v>0.44978124147954202</v>
      </c>
      <c r="N5" s="68" t="e">
        <f>+L5-M5</f>
        <v>#NAME?</v>
      </c>
      <c r="O5" s="69" t="e">
        <f>MIN(L5:M5)</f>
        <v>#NAME?</v>
      </c>
      <c r="P5" s="69" t="e">
        <f>IF(N5&gt;0,N5," ")</f>
        <v>#NAME?</v>
      </c>
      <c r="Q5" s="69" t="e">
        <f>IF(N5&lt;0,ABS(N5)," ")</f>
        <v>#NAME?</v>
      </c>
      <c r="R5" s="70" t="s">
        <v>575</v>
      </c>
      <c r="S5" s="58"/>
      <c r="T5" s="71">
        <v>1</v>
      </c>
      <c r="U5" s="71" t="s">
        <v>623</v>
      </c>
      <c r="V5" s="68" t="e">
        <f>+GETPIVOTDATA("Suma de Porcentaje Acumulado Ponderado ",$E$6,"Key","1.")</f>
        <v>#NAME?</v>
      </c>
      <c r="W5" s="68">
        <f>+GETPIVOTDATA("Suma de Trayectoria Ponderada",$E$6,"Key","1.")</f>
        <v>9.7724337740193054E-2</v>
      </c>
      <c r="X5" s="68" t="e">
        <f>+V5-W5</f>
        <v>#NAME?</v>
      </c>
      <c r="Y5" s="68" t="e">
        <f>MIN(V5:W5)</f>
        <v>#NAME?</v>
      </c>
      <c r="Z5" s="68" t="e">
        <f>IF(X5&gt;0,X5," ")</f>
        <v>#NAME?</v>
      </c>
      <c r="AA5" s="68" t="e">
        <f>IF(X5&lt;0,ABS(X5)," ")</f>
        <v>#NAME?</v>
      </c>
      <c r="AB5" s="68" t="s">
        <v>575</v>
      </c>
      <c r="AC5" s="58"/>
      <c r="AD5" s="222" t="s">
        <v>624</v>
      </c>
      <c r="AE5" s="225" t="s">
        <v>648</v>
      </c>
      <c r="AF5" s="17" t="s">
        <v>625</v>
      </c>
      <c r="AG5"/>
      <c r="AH5"/>
      <c r="AI5"/>
      <c r="AJ5" s="222" t="s">
        <v>624</v>
      </c>
      <c r="AK5" s="225" t="s">
        <v>648</v>
      </c>
      <c r="AL5" s="17" t="s">
        <v>625</v>
      </c>
      <c r="AM5"/>
      <c r="AN5"/>
      <c r="AO5"/>
    </row>
    <row r="6" spans="2:41" ht="43.8" thickBot="1" x14ac:dyDescent="0.35">
      <c r="B6" s="72" t="s">
        <v>626</v>
      </c>
      <c r="C6" s="73" t="s">
        <v>627</v>
      </c>
      <c r="E6" s="223" t="s">
        <v>624</v>
      </c>
      <c r="F6" s="74" t="s">
        <v>628</v>
      </c>
      <c r="G6" s="75" t="s">
        <v>629</v>
      </c>
      <c r="H6" s="74" t="s">
        <v>630</v>
      </c>
      <c r="I6" s="19" t="s">
        <v>631</v>
      </c>
      <c r="J6" s="58"/>
      <c r="K6" s="76" t="s">
        <v>632</v>
      </c>
      <c r="L6" s="77" t="e">
        <f>+GETPIVOTDATA("Sum of Porcentaje Hasta la Vigencia Ponderado ",$E$6)</f>
        <v>#NAME?</v>
      </c>
      <c r="M6" s="78">
        <f>+GETPIVOTDATA("Sum of Ponderación relativa del Producto (%)",$E$6)</f>
        <v>1</v>
      </c>
      <c r="N6" s="79" t="e">
        <f>+L6-M6</f>
        <v>#NAME?</v>
      </c>
      <c r="O6" s="78" t="e">
        <f>MIN(L6:M6)</f>
        <v>#NAME?</v>
      </c>
      <c r="P6" s="78" t="e">
        <f>IF(N6&gt;0,N6," ")</f>
        <v>#NAME?</v>
      </c>
      <c r="Q6" s="78" t="e">
        <f>IF(N6&lt;0,ABS(N6)," ")</f>
        <v>#NAME?</v>
      </c>
      <c r="R6" s="80" t="s">
        <v>575</v>
      </c>
      <c r="S6" s="58"/>
      <c r="T6" s="71">
        <v>2</v>
      </c>
      <c r="U6" s="71" t="s">
        <v>633</v>
      </c>
      <c r="V6" s="68" t="e">
        <f>+GETPIVOTDATA("Suma de Porcentaje Acumulado Ponderado ",$E$6,"Key","2.")</f>
        <v>#NAME?</v>
      </c>
      <c r="W6" s="68">
        <f>+GETPIVOTDATA("Suma de Trayectoria Ponderada",$E$6,"Key","2.")</f>
        <v>5.6394838813881187E-2</v>
      </c>
      <c r="X6" s="68" t="e">
        <f>+V6-W6</f>
        <v>#NAME?</v>
      </c>
      <c r="Y6" s="68" t="e">
        <f>MIN(V6:W6)</f>
        <v>#NAME?</v>
      </c>
      <c r="Z6" s="68" t="e">
        <f>IF(X6&gt;0,X6," ")</f>
        <v>#NAME?</v>
      </c>
      <c r="AA6" s="68" t="e">
        <f>IF(X6&lt;0,ABS(X6)," ")</f>
        <v>#NAME?</v>
      </c>
      <c r="AB6" s="68" t="s">
        <v>575</v>
      </c>
      <c r="AC6" s="58"/>
      <c r="AD6" s="15" t="s">
        <v>23</v>
      </c>
      <c r="AE6" s="226">
        <v>1</v>
      </c>
      <c r="AF6" s="227">
        <v>1</v>
      </c>
      <c r="AG6"/>
      <c r="AH6"/>
      <c r="AI6"/>
      <c r="AJ6" s="15" t="s">
        <v>23</v>
      </c>
      <c r="AK6" s="226">
        <v>1</v>
      </c>
      <c r="AL6" s="227">
        <v>1</v>
      </c>
      <c r="AM6"/>
      <c r="AN6"/>
      <c r="AO6"/>
    </row>
    <row r="7" spans="2:41" x14ac:dyDescent="0.3">
      <c r="B7" s="81" t="s">
        <v>634</v>
      </c>
      <c r="C7" s="90">
        <f ca="1">COUNTIF(Panel_Control[Semáforo Hasta la Vigencia],"Verde")</f>
        <v>0</v>
      </c>
      <c r="E7" s="166" t="s">
        <v>635</v>
      </c>
      <c r="F7" s="82" t="e">
        <v>#NAME?</v>
      </c>
      <c r="G7" s="224" t="e">
        <v>#NAME?</v>
      </c>
      <c r="H7" s="224">
        <v>9.7724337740193054E-2</v>
      </c>
      <c r="I7" s="83">
        <v>0.22</v>
      </c>
      <c r="J7" s="58"/>
      <c r="K7" s="58"/>
      <c r="S7" s="58"/>
      <c r="T7" s="71">
        <v>3</v>
      </c>
      <c r="U7" s="71" t="s">
        <v>636</v>
      </c>
      <c r="V7" s="68" t="e">
        <f>+GETPIVOTDATA("Suma de Porcentaje Acumulado Ponderado ",$E$6,"Key","3.")</f>
        <v>#NAME?</v>
      </c>
      <c r="W7" s="68">
        <f>+GETPIVOTDATA("Suma de Trayectoria Ponderada",$E$6,"Key","3.")</f>
        <v>6.9047619047619052E-2</v>
      </c>
      <c r="X7" s="68" t="e">
        <f>+V7-W7</f>
        <v>#NAME?</v>
      </c>
      <c r="Y7" s="68" t="e">
        <f>MIN(V7:W7)</f>
        <v>#NAME?</v>
      </c>
      <c r="Z7" s="68" t="e">
        <f>IF(X7&gt;0,X7," ")</f>
        <v>#NAME?</v>
      </c>
      <c r="AA7" s="68" t="e">
        <f>IF(X7&lt;0,ABS(X7)," ")</f>
        <v>#NAME?</v>
      </c>
      <c r="AB7" s="68" t="s">
        <v>575</v>
      </c>
      <c r="AC7" s="58"/>
      <c r="AD7" s="15" t="s">
        <v>53</v>
      </c>
      <c r="AE7" s="226">
        <v>1</v>
      </c>
      <c r="AF7" s="227">
        <v>1</v>
      </c>
      <c r="AG7"/>
      <c r="AH7"/>
      <c r="AI7"/>
      <c r="AJ7" s="15" t="s">
        <v>53</v>
      </c>
      <c r="AK7" s="226">
        <v>1</v>
      </c>
      <c r="AL7" s="227">
        <v>1</v>
      </c>
      <c r="AM7"/>
      <c r="AN7"/>
      <c r="AO7"/>
    </row>
    <row r="8" spans="2:41" x14ac:dyDescent="0.3">
      <c r="B8" s="81" t="s">
        <v>637</v>
      </c>
      <c r="C8" s="90">
        <f ca="1">COUNTIF(Panel_Control[Semáforo Hasta la Vigencia],"Rojo")</f>
        <v>0</v>
      </c>
      <c r="E8" s="166" t="s">
        <v>638</v>
      </c>
      <c r="F8" s="82" t="e">
        <v>#NAME?</v>
      </c>
      <c r="G8" s="224" t="e">
        <v>#NAME?</v>
      </c>
      <c r="H8" s="224">
        <v>5.6394838813881187E-2</v>
      </c>
      <c r="I8" s="83">
        <v>0.2</v>
      </c>
      <c r="J8" s="58"/>
      <c r="K8" s="58"/>
      <c r="T8" s="71">
        <v>4</v>
      </c>
      <c r="U8" s="71" t="s">
        <v>639</v>
      </c>
      <c r="V8" s="68" t="e">
        <f>+GETPIVOTDATA("Suma de Porcentaje Acumulado Ponderado ",$E$6,"Key","4.")</f>
        <v>#NAME?</v>
      </c>
      <c r="W8" s="68">
        <f>+GETPIVOTDATA("Suma de Trayectoria Ponderada",$E$6,"Key","4.")</f>
        <v>7.7500000000000013E-2</v>
      </c>
      <c r="X8" s="68" t="e">
        <f>+V8-W8</f>
        <v>#NAME?</v>
      </c>
      <c r="Y8" s="68" t="e">
        <f>MIN(V8:W8)</f>
        <v>#NAME?</v>
      </c>
      <c r="Z8" s="68" t="e">
        <f>IF(X8&gt;0,X8," ")</f>
        <v>#NAME?</v>
      </c>
      <c r="AA8" s="68" t="e">
        <f>IF(X8&lt;0,ABS(X8)," ")</f>
        <v>#NAME?</v>
      </c>
      <c r="AB8" s="68" t="s">
        <v>575</v>
      </c>
      <c r="AD8" s="15" t="s">
        <v>31</v>
      </c>
      <c r="AE8" s="226">
        <v>1</v>
      </c>
      <c r="AF8" s="227">
        <v>1</v>
      </c>
      <c r="AG8"/>
      <c r="AH8"/>
      <c r="AI8"/>
      <c r="AJ8" s="15" t="s">
        <v>31</v>
      </c>
      <c r="AK8" s="226">
        <v>1</v>
      </c>
      <c r="AL8" s="227">
        <v>1</v>
      </c>
      <c r="AM8"/>
      <c r="AN8"/>
      <c r="AO8"/>
    </row>
    <row r="9" spans="2:41" ht="43.8" thickBot="1" x14ac:dyDescent="0.35">
      <c r="B9" s="84" t="s">
        <v>640</v>
      </c>
      <c r="C9" s="91">
        <f ca="1">COUNTIF(Panel_Control[Semáforo Hasta la Vigencia],"Amarillo")</f>
        <v>0</v>
      </c>
      <c r="E9" s="166" t="s">
        <v>641</v>
      </c>
      <c r="F9" s="82" t="e">
        <v>#NAME?</v>
      </c>
      <c r="G9" s="224" t="e">
        <v>#NAME?</v>
      </c>
      <c r="H9" s="224">
        <v>6.9047619047619052E-2</v>
      </c>
      <c r="I9" s="83">
        <v>0.15000000000000002</v>
      </c>
      <c r="J9" s="58"/>
      <c r="K9" s="58"/>
      <c r="T9" s="71" t="str">
        <f>+E11</f>
        <v>5.</v>
      </c>
      <c r="U9" s="71" t="s">
        <v>642</v>
      </c>
      <c r="V9" s="68" t="e">
        <f>+GETPIVOTDATA("Suma de Porcentaje Acumulado Ponderado ",$E$6,"Key","5.")</f>
        <v>#NAME?</v>
      </c>
      <c r="W9" s="68">
        <f>+GETPIVOTDATA("Suma de Trayectoria Ponderada",$E$6,"Key","4.")</f>
        <v>7.7500000000000013E-2</v>
      </c>
      <c r="X9" s="68" t="e">
        <f>+V9-W9</f>
        <v>#NAME?</v>
      </c>
      <c r="Y9" s="68" t="e">
        <f>MIN(V9:W9)</f>
        <v>#NAME?</v>
      </c>
      <c r="Z9" s="68" t="e">
        <f>IF(X9&gt;0,X9," ")</f>
        <v>#NAME?</v>
      </c>
      <c r="AA9" s="68" t="e">
        <f>IF(X9&lt;0,ABS(X9)," ")</f>
        <v>#NAME?</v>
      </c>
      <c r="AB9" s="68"/>
      <c r="AD9" s="15" t="s">
        <v>57</v>
      </c>
      <c r="AE9" s="226">
        <v>2</v>
      </c>
      <c r="AF9" s="227">
        <v>2</v>
      </c>
      <c r="AG9"/>
      <c r="AH9"/>
      <c r="AI9"/>
      <c r="AJ9" s="15" t="s">
        <v>57</v>
      </c>
      <c r="AK9" s="226">
        <v>2</v>
      </c>
      <c r="AL9" s="227">
        <v>2</v>
      </c>
      <c r="AM9"/>
      <c r="AN9"/>
      <c r="AO9"/>
    </row>
    <row r="10" spans="2:41" ht="15" thickBot="1" x14ac:dyDescent="0.35">
      <c r="E10" s="166" t="s">
        <v>643</v>
      </c>
      <c r="F10" s="82" t="e">
        <v>#NAME?</v>
      </c>
      <c r="G10" s="224" t="e">
        <v>#NAME?</v>
      </c>
      <c r="H10" s="224">
        <v>7.7500000000000013E-2</v>
      </c>
      <c r="I10" s="83">
        <v>0.13</v>
      </c>
      <c r="J10" s="58"/>
      <c r="K10" s="58"/>
      <c r="AD10" s="15" t="s">
        <v>43</v>
      </c>
      <c r="AE10" s="226">
        <v>2</v>
      </c>
      <c r="AF10" s="227">
        <v>2</v>
      </c>
      <c r="AG10"/>
      <c r="AH10"/>
      <c r="AI10"/>
      <c r="AJ10" s="15" t="s">
        <v>43</v>
      </c>
      <c r="AK10" s="226">
        <v>2</v>
      </c>
      <c r="AL10" s="227">
        <v>2</v>
      </c>
      <c r="AM10"/>
      <c r="AN10"/>
      <c r="AO10"/>
    </row>
    <row r="11" spans="2:41" ht="15" thickBot="1" x14ac:dyDescent="0.35">
      <c r="B11" s="329" t="s">
        <v>644</v>
      </c>
      <c r="C11" s="330"/>
      <c r="E11" s="20" t="s">
        <v>645</v>
      </c>
      <c r="F11" s="82" t="e">
        <v>#NAME?</v>
      </c>
      <c r="G11" s="224" t="e">
        <v>#NAME?</v>
      </c>
      <c r="H11" s="224">
        <v>0.14911444587784875</v>
      </c>
      <c r="I11" s="83">
        <v>0.30000000000000004</v>
      </c>
      <c r="J11" s="58"/>
      <c r="K11" s="58"/>
      <c r="T11" s="326" t="s">
        <v>646</v>
      </c>
      <c r="U11" s="328"/>
      <c r="V11" s="328"/>
      <c r="W11" s="328"/>
      <c r="X11" s="328"/>
      <c r="Y11" s="328"/>
      <c r="Z11" s="328"/>
      <c r="AA11" s="328"/>
      <c r="AB11" s="327"/>
      <c r="AD11" s="15" t="s">
        <v>34</v>
      </c>
      <c r="AE11" s="226">
        <v>2</v>
      </c>
      <c r="AF11" s="227">
        <v>2</v>
      </c>
      <c r="AG11"/>
      <c r="AH11"/>
      <c r="AI11"/>
      <c r="AJ11" s="15" t="s">
        <v>34</v>
      </c>
      <c r="AK11" s="226">
        <v>2</v>
      </c>
      <c r="AL11" s="227">
        <v>2</v>
      </c>
      <c r="AM11"/>
      <c r="AN11"/>
      <c r="AO11"/>
    </row>
    <row r="12" spans="2:41" ht="15" thickBot="1" x14ac:dyDescent="0.35">
      <c r="B12" s="331"/>
      <c r="C12" s="332"/>
      <c r="E12" s="85" t="s">
        <v>625</v>
      </c>
      <c r="F12" s="86" t="e">
        <v>#NAME?</v>
      </c>
      <c r="G12" s="87" t="e">
        <v>#NAME?</v>
      </c>
      <c r="H12" s="87">
        <v>0.44978124147954202</v>
      </c>
      <c r="I12" s="88">
        <v>1</v>
      </c>
      <c r="AD12" s="15" t="s">
        <v>8</v>
      </c>
      <c r="AE12" s="226">
        <v>3</v>
      </c>
      <c r="AF12" s="227">
        <v>3</v>
      </c>
      <c r="AG12"/>
      <c r="AH12"/>
      <c r="AI12"/>
      <c r="AJ12" s="15" t="s">
        <v>8</v>
      </c>
      <c r="AK12" s="226">
        <v>3</v>
      </c>
      <c r="AL12" s="227">
        <v>3</v>
      </c>
      <c r="AM12"/>
      <c r="AN12"/>
      <c r="AO12"/>
    </row>
    <row r="13" spans="2:41" ht="43.8" thickBot="1" x14ac:dyDescent="0.35">
      <c r="B13" s="72" t="s">
        <v>626</v>
      </c>
      <c r="C13" s="73" t="s">
        <v>627</v>
      </c>
      <c r="E13"/>
      <c r="F13"/>
      <c r="G13"/>
      <c r="H13"/>
      <c r="I13"/>
      <c r="T13" s="63" t="s">
        <v>604</v>
      </c>
      <c r="U13" s="63" t="s">
        <v>617</v>
      </c>
      <c r="V13" s="65" t="s">
        <v>579</v>
      </c>
      <c r="W13" s="65" t="s">
        <v>647</v>
      </c>
      <c r="X13" s="64" t="s">
        <v>612</v>
      </c>
      <c r="Y13" s="64" t="s">
        <v>613</v>
      </c>
      <c r="Z13" s="64" t="s">
        <v>614</v>
      </c>
      <c r="AA13" s="65" t="s">
        <v>615</v>
      </c>
      <c r="AB13" s="65" t="s">
        <v>616</v>
      </c>
      <c r="AD13" s="15" t="s">
        <v>13</v>
      </c>
      <c r="AE13" s="226">
        <v>18</v>
      </c>
      <c r="AF13" s="227">
        <v>18</v>
      </c>
      <c r="AG13"/>
      <c r="AH13"/>
      <c r="AI13"/>
      <c r="AJ13" s="15" t="s">
        <v>13</v>
      </c>
      <c r="AK13" s="226">
        <v>18</v>
      </c>
      <c r="AL13" s="227">
        <v>18</v>
      </c>
      <c r="AM13"/>
      <c r="AN13"/>
      <c r="AO13"/>
    </row>
    <row r="14" spans="2:41" ht="15" thickBot="1" x14ac:dyDescent="0.35">
      <c r="B14" s="81" t="s">
        <v>634</v>
      </c>
      <c r="C14" s="90">
        <f ca="1">COUNTIF(Panel_Control[Semáforo Acumulado],"Verde")</f>
        <v>0</v>
      </c>
      <c r="T14" s="71">
        <v>1</v>
      </c>
      <c r="U14" s="71" t="s">
        <v>623</v>
      </c>
      <c r="V14" s="68" t="e">
        <f>+GETPIVOTDATA("Sum of Porcentaje Hasta la Vigencia Ponderado ",$E$6,"Key","1.")</f>
        <v>#NAME?</v>
      </c>
      <c r="W14" s="68">
        <f>+GETPIVOTDATA("Sum of Ponderación relativa del producto (%)",$E$6,"Key","1.")</f>
        <v>0.22</v>
      </c>
      <c r="X14" s="68" t="e">
        <f>+V14-W14</f>
        <v>#NAME?</v>
      </c>
      <c r="Y14" s="69" t="e">
        <f>MIN(V14:W14)</f>
        <v>#NAME?</v>
      </c>
      <c r="Z14" s="69" t="e">
        <f>IF(X14&gt;0,X14," ")</f>
        <v>#NAME?</v>
      </c>
      <c r="AA14" s="69" t="e">
        <f>IF(X14&lt;0,ABS(X14)," ")</f>
        <v>#NAME?</v>
      </c>
      <c r="AB14" s="69" t="s">
        <v>575</v>
      </c>
      <c r="AD14" s="18" t="s">
        <v>625</v>
      </c>
      <c r="AE14" s="228">
        <v>30</v>
      </c>
      <c r="AF14" s="229">
        <v>30</v>
      </c>
      <c r="AG14"/>
      <c r="AH14"/>
      <c r="AI14"/>
      <c r="AJ14" s="18" t="s">
        <v>625</v>
      </c>
      <c r="AK14" s="228">
        <v>30</v>
      </c>
      <c r="AL14" s="229">
        <v>30</v>
      </c>
      <c r="AM14"/>
      <c r="AN14"/>
      <c r="AO14"/>
    </row>
    <row r="15" spans="2:41" x14ac:dyDescent="0.3">
      <c r="B15" s="81" t="s">
        <v>637</v>
      </c>
      <c r="C15" s="90">
        <f ca="1">COUNTIF(Panel_Control[Semáforo Acumulado],"Rojo")</f>
        <v>0</v>
      </c>
      <c r="T15" s="71">
        <v>2</v>
      </c>
      <c r="U15" s="71" t="s">
        <v>633</v>
      </c>
      <c r="V15" s="68" t="e">
        <f>+GETPIVOTDATA("Sum of Porcentaje Hasta la Vigencia Ponderado ",$E$6,"Key","2.")</f>
        <v>#NAME?</v>
      </c>
      <c r="W15" s="68">
        <f>+GETPIVOTDATA("Sum of Ponderación relativa del producto (%)",$E$6,"Key","2.")</f>
        <v>0.2</v>
      </c>
      <c r="X15" s="68" t="e">
        <f>+V15-W15</f>
        <v>#NAME?</v>
      </c>
      <c r="Y15" s="69" t="e">
        <f>MIN(V15:W15)</f>
        <v>#NAME?</v>
      </c>
      <c r="Z15" s="69" t="e">
        <f>IF(X15&gt;0,X15," ")</f>
        <v>#NAME?</v>
      </c>
      <c r="AA15" s="69" t="e">
        <f>IF(X15&lt;0,ABS(X15)," ")</f>
        <v>#NAME?</v>
      </c>
      <c r="AB15" s="69" t="s">
        <v>575</v>
      </c>
      <c r="AD15"/>
      <c r="AE15"/>
      <c r="AF15"/>
      <c r="AG15"/>
      <c r="AH15"/>
      <c r="AI15" s="40"/>
      <c r="AJ15"/>
      <c r="AK15"/>
      <c r="AL15"/>
      <c r="AM15"/>
      <c r="AN15"/>
      <c r="AO15"/>
    </row>
    <row r="16" spans="2:41" ht="15" thickBot="1" x14ac:dyDescent="0.35">
      <c r="B16" s="84" t="s">
        <v>640</v>
      </c>
      <c r="C16" s="91">
        <f ca="1">COUNTIF(Panel_Control[Semáforo Acumulado],"Amarillo")</f>
        <v>0</v>
      </c>
      <c r="T16" s="71">
        <v>3</v>
      </c>
      <c r="U16" s="71" t="s">
        <v>636</v>
      </c>
      <c r="V16" s="68" t="e">
        <f>+GETPIVOTDATA("Sum of Porcentaje Hasta la Vigencia Ponderado ",$E$6,"Key","3.")</f>
        <v>#NAME?</v>
      </c>
      <c r="W16" s="68">
        <f>+GETPIVOTDATA("Sum of Ponderación relativa del producto (%)",$E$6,"Key","3.")</f>
        <v>0.15000000000000002</v>
      </c>
      <c r="X16" s="68" t="e">
        <f>+V16-W16</f>
        <v>#NAME?</v>
      </c>
      <c r="Y16" s="69" t="e">
        <f>MIN(V16:W16)</f>
        <v>#NAME?</v>
      </c>
      <c r="Z16" s="69" t="e">
        <f>IF(X16&gt;0,X16," ")</f>
        <v>#NAME?</v>
      </c>
      <c r="AA16" s="69" t="e">
        <f>IF(X16&lt;0,ABS(X16)," ")</f>
        <v>#NAME?</v>
      </c>
      <c r="AB16" s="69" t="s">
        <v>575</v>
      </c>
      <c r="AD16"/>
      <c r="AE16"/>
      <c r="AF16"/>
      <c r="AG16"/>
      <c r="AH16"/>
      <c r="AI16" s="40"/>
      <c r="AJ16"/>
      <c r="AK16"/>
      <c r="AL16"/>
      <c r="AM16"/>
      <c r="AN16"/>
      <c r="AO16" s="40"/>
    </row>
    <row r="17" spans="20:41" x14ac:dyDescent="0.3">
      <c r="T17" s="71">
        <v>4</v>
      </c>
      <c r="U17" s="71" t="s">
        <v>639</v>
      </c>
      <c r="V17" s="68" t="e">
        <f>+GETPIVOTDATA("Sum of Porcentaje Hasta la Vigencia Ponderado ",$E$6,"Key","4.")</f>
        <v>#NAME?</v>
      </c>
      <c r="W17" s="68">
        <f>+GETPIVOTDATA("Sum of Ponderación relativa del producto (%)",$E$6,"Key","4.")</f>
        <v>0.13</v>
      </c>
      <c r="X17" s="68" t="e">
        <f>+V17-W17</f>
        <v>#NAME?</v>
      </c>
      <c r="Y17" s="69" t="e">
        <f>MIN(V17:W17)</f>
        <v>#NAME?</v>
      </c>
      <c r="Z17" s="69" t="e">
        <f>IF(X17&gt;0,X17," ")</f>
        <v>#NAME?</v>
      </c>
      <c r="AA17" s="69" t="e">
        <f>IF(X17&lt;0,ABS(X17)," ")</f>
        <v>#NAME?</v>
      </c>
      <c r="AB17" s="69" t="s">
        <v>575</v>
      </c>
      <c r="AD17"/>
      <c r="AE17"/>
      <c r="AF17"/>
      <c r="AG17"/>
      <c r="AH17"/>
      <c r="AI17" s="40"/>
      <c r="AJ17"/>
      <c r="AK17"/>
      <c r="AL17"/>
      <c r="AM17"/>
      <c r="AN17"/>
      <c r="AO17" s="40"/>
    </row>
    <row r="18" spans="20:41" ht="43.2" x14ac:dyDescent="0.3">
      <c r="T18" s="71">
        <v>5</v>
      </c>
      <c r="U18" s="71" t="s">
        <v>642</v>
      </c>
      <c r="V18" s="68" t="e">
        <f>+GETPIVOTDATA("Sum of Porcentaje Hasta la Vigencia Ponderado ",$E$6,"Key","5.")</f>
        <v>#NAME?</v>
      </c>
      <c r="W18" s="68">
        <f>+GETPIVOTDATA("Sum of Ponderación relativa del producto (%)",$E$6,"Key","4.")</f>
        <v>0.13</v>
      </c>
      <c r="X18" s="68" t="e">
        <f>+V18-W18</f>
        <v>#NAME?</v>
      </c>
      <c r="Y18" s="69" t="e">
        <f>MIN(V18:W18)</f>
        <v>#NAME?</v>
      </c>
      <c r="Z18" s="69" t="e">
        <f>IF(X18&gt;0,X18," ")</f>
        <v>#NAME?</v>
      </c>
      <c r="AA18" s="69" t="e">
        <f>IF(X18&lt;0,ABS(X18)," ")</f>
        <v>#NAME?</v>
      </c>
      <c r="AB18" s="69"/>
      <c r="AD18"/>
      <c r="AE18"/>
      <c r="AF18"/>
      <c r="AG18"/>
      <c r="AH18"/>
      <c r="AI18" s="40"/>
      <c r="AJ18"/>
      <c r="AK18"/>
      <c r="AL18"/>
      <c r="AM18"/>
      <c r="AN18"/>
      <c r="AO18" s="40"/>
    </row>
    <row r="19" spans="20:41" x14ac:dyDescent="0.3">
      <c r="AD19"/>
      <c r="AE19"/>
      <c r="AF19"/>
      <c r="AG19"/>
      <c r="AH19"/>
      <c r="AI19" s="40"/>
      <c r="AJ19"/>
      <c r="AK19"/>
      <c r="AL19"/>
      <c r="AM19"/>
      <c r="AN19"/>
      <c r="AO19" s="40"/>
    </row>
    <row r="20" spans="20:41" x14ac:dyDescent="0.3">
      <c r="AD20"/>
      <c r="AE20"/>
      <c r="AF20"/>
      <c r="AG20"/>
      <c r="AH20"/>
      <c r="AI20" s="40"/>
      <c r="AJ20"/>
      <c r="AK20"/>
      <c r="AL20"/>
      <c r="AM20"/>
      <c r="AN20"/>
      <c r="AO20" s="40"/>
    </row>
    <row r="21" spans="20:41" x14ac:dyDescent="0.3">
      <c r="AD21"/>
      <c r="AE21"/>
      <c r="AF21"/>
      <c r="AG21"/>
      <c r="AH21"/>
      <c r="AI21" s="40"/>
      <c r="AJ21"/>
      <c r="AK21"/>
      <c r="AL21"/>
      <c r="AM21"/>
      <c r="AN21"/>
      <c r="AO21" s="40"/>
    </row>
    <row r="22" spans="20:41" x14ac:dyDescent="0.3">
      <c r="AD22"/>
      <c r="AE22"/>
      <c r="AF22"/>
      <c r="AG22"/>
      <c r="AH22"/>
      <c r="AI22" s="40"/>
      <c r="AJ22"/>
      <c r="AK22"/>
      <c r="AL22"/>
      <c r="AM22"/>
      <c r="AN22"/>
      <c r="AO22" s="40"/>
    </row>
    <row r="23" spans="20:41" x14ac:dyDescent="0.3">
      <c r="AD23"/>
      <c r="AE23"/>
      <c r="AF23"/>
      <c r="AG23"/>
      <c r="AH23"/>
      <c r="AJ23"/>
      <c r="AK23"/>
      <c r="AL23"/>
      <c r="AM23"/>
      <c r="AN23"/>
    </row>
    <row r="37" spans="10:29" x14ac:dyDescent="0.3">
      <c r="J37" s="57"/>
      <c r="K37" s="57"/>
      <c r="L37" s="57"/>
      <c r="M37" s="57"/>
      <c r="N37" s="57"/>
      <c r="O37" s="57"/>
      <c r="P37" s="57"/>
      <c r="Q37" s="57"/>
      <c r="R37" s="57"/>
      <c r="S37" s="57"/>
      <c r="AC37" s="57"/>
    </row>
    <row r="39" spans="10:29" x14ac:dyDescent="0.3">
      <c r="J39" s="58"/>
      <c r="K39" s="58"/>
      <c r="L39" s="58"/>
      <c r="M39" s="58"/>
      <c r="N39" s="58"/>
      <c r="O39" s="58"/>
      <c r="P39" s="58"/>
      <c r="Q39" s="58"/>
      <c r="R39" s="58"/>
      <c r="S39" s="58"/>
      <c r="T39" s="57"/>
      <c r="U39" s="57"/>
      <c r="V39" s="57"/>
      <c r="W39" s="57"/>
      <c r="X39" s="57"/>
      <c r="Y39" s="57"/>
      <c r="Z39" s="57"/>
      <c r="AA39" s="57"/>
      <c r="AB39" s="57"/>
      <c r="AC39" s="58"/>
    </row>
    <row r="41" spans="10:29" x14ac:dyDescent="0.3">
      <c r="J41" s="58"/>
      <c r="K41" s="58"/>
      <c r="L41" s="58"/>
      <c r="M41" s="58"/>
      <c r="N41" s="58"/>
      <c r="O41" s="58"/>
      <c r="P41" s="58"/>
      <c r="Q41" s="58"/>
      <c r="R41" s="58"/>
      <c r="S41" s="58"/>
      <c r="T41" s="58"/>
      <c r="U41" s="58"/>
      <c r="V41" s="58"/>
      <c r="W41" s="58"/>
      <c r="X41" s="58"/>
      <c r="Y41" s="58"/>
      <c r="Z41" s="58"/>
      <c r="AA41" s="58"/>
      <c r="AB41" s="58"/>
      <c r="AC41" s="58"/>
    </row>
    <row r="43" spans="10:29" x14ac:dyDescent="0.3">
      <c r="J43" s="58"/>
      <c r="K43" s="58"/>
      <c r="L43" s="58"/>
      <c r="M43" s="58"/>
      <c r="N43" s="58"/>
      <c r="O43" s="58"/>
      <c r="P43" s="58"/>
      <c r="Q43" s="58"/>
      <c r="R43" s="58"/>
      <c r="S43" s="58"/>
      <c r="T43" s="58"/>
      <c r="U43" s="58"/>
      <c r="V43" s="58"/>
      <c r="W43" s="58"/>
      <c r="X43" s="58"/>
      <c r="Y43" s="58"/>
      <c r="Z43" s="58"/>
      <c r="AA43" s="58"/>
      <c r="AB43" s="58"/>
      <c r="AC43" s="58"/>
    </row>
    <row r="45" spans="10:29" x14ac:dyDescent="0.3">
      <c r="J45" s="58"/>
      <c r="K45" s="58"/>
      <c r="L45" s="58"/>
      <c r="M45" s="58"/>
      <c r="N45" s="58"/>
      <c r="O45" s="58"/>
      <c r="P45" s="58"/>
      <c r="Q45" s="58"/>
      <c r="R45" s="58"/>
      <c r="S45" s="58"/>
      <c r="T45" s="58"/>
      <c r="U45" s="58"/>
      <c r="V45" s="58"/>
      <c r="W45" s="58"/>
      <c r="X45" s="58"/>
      <c r="Y45" s="58"/>
      <c r="Z45" s="58"/>
      <c r="AA45" s="58"/>
      <c r="AB45" s="58"/>
      <c r="AC45" s="58"/>
    </row>
    <row r="47" spans="10:29" x14ac:dyDescent="0.3">
      <c r="J47" s="58"/>
      <c r="K47" s="58"/>
      <c r="L47" s="58"/>
      <c r="M47" s="58"/>
      <c r="N47" s="58"/>
      <c r="O47" s="58"/>
      <c r="P47" s="58"/>
      <c r="Q47" s="58"/>
      <c r="R47" s="58"/>
      <c r="S47" s="58"/>
      <c r="T47" s="58"/>
      <c r="U47" s="58"/>
      <c r="V47" s="58"/>
      <c r="W47" s="58"/>
      <c r="X47" s="58"/>
      <c r="Y47" s="58"/>
      <c r="Z47" s="58"/>
      <c r="AA47" s="58"/>
      <c r="AB47" s="58"/>
      <c r="AC47" s="58"/>
    </row>
    <row r="49" spans="10:29" x14ac:dyDescent="0.3">
      <c r="J49" s="58"/>
      <c r="K49" s="58"/>
      <c r="L49" s="58"/>
      <c r="M49" s="58"/>
      <c r="N49" s="58"/>
      <c r="O49" s="58"/>
      <c r="P49" s="58"/>
      <c r="Q49" s="58"/>
      <c r="R49" s="58"/>
      <c r="S49" s="58"/>
      <c r="T49" s="58"/>
      <c r="U49" s="58"/>
      <c r="V49" s="58"/>
      <c r="W49" s="58"/>
      <c r="X49" s="58"/>
      <c r="Y49" s="58"/>
      <c r="Z49" s="58"/>
      <c r="AA49" s="58"/>
      <c r="AB49" s="58"/>
      <c r="AC49" s="58"/>
    </row>
    <row r="51" spans="10:29" x14ac:dyDescent="0.3">
      <c r="J51" s="58"/>
      <c r="K51" s="58"/>
      <c r="L51" s="58"/>
      <c r="M51" s="58"/>
      <c r="N51" s="58"/>
      <c r="O51" s="58"/>
      <c r="P51" s="58"/>
      <c r="Q51" s="58"/>
      <c r="R51" s="58"/>
      <c r="S51" s="58"/>
      <c r="T51" s="58"/>
      <c r="U51" s="58"/>
      <c r="V51" s="58"/>
      <c r="W51" s="58"/>
      <c r="X51" s="58"/>
      <c r="Y51" s="58"/>
      <c r="Z51" s="58"/>
      <c r="AA51" s="58"/>
      <c r="AB51" s="58"/>
      <c r="AC51" s="58"/>
    </row>
    <row r="53" spans="10:29" x14ac:dyDescent="0.3">
      <c r="J53" s="58"/>
      <c r="K53" s="58"/>
      <c r="L53" s="58"/>
      <c r="M53" s="58"/>
      <c r="N53" s="58"/>
      <c r="O53" s="58"/>
      <c r="P53" s="58"/>
      <c r="Q53" s="58"/>
      <c r="R53" s="58"/>
      <c r="S53" s="58"/>
      <c r="T53" s="58"/>
      <c r="U53" s="58"/>
      <c r="V53" s="58"/>
      <c r="W53" s="58"/>
      <c r="X53" s="58"/>
      <c r="Y53" s="58"/>
      <c r="Z53" s="58"/>
      <c r="AA53" s="58"/>
      <c r="AB53" s="58"/>
      <c r="AC53" s="58"/>
    </row>
    <row r="55" spans="10:29" x14ac:dyDescent="0.3">
      <c r="J55" s="58"/>
      <c r="K55" s="58"/>
      <c r="L55" s="58"/>
      <c r="M55" s="58"/>
      <c r="N55" s="58"/>
      <c r="O55" s="58"/>
      <c r="P55" s="58"/>
      <c r="Q55" s="58"/>
      <c r="R55" s="58"/>
      <c r="S55" s="58"/>
      <c r="T55" s="58"/>
      <c r="U55" s="58"/>
      <c r="V55" s="58"/>
      <c r="W55" s="58"/>
      <c r="X55" s="58"/>
      <c r="Y55" s="58"/>
      <c r="Z55" s="58"/>
      <c r="AA55" s="58"/>
      <c r="AB55" s="58"/>
      <c r="AC55" s="58"/>
    </row>
    <row r="57" spans="10:29" x14ac:dyDescent="0.3">
      <c r="T57" s="58"/>
      <c r="U57" s="58"/>
      <c r="V57" s="58"/>
      <c r="W57" s="58"/>
      <c r="X57" s="58"/>
      <c r="Y57" s="58"/>
      <c r="Z57" s="58"/>
      <c r="AA57" s="58"/>
      <c r="AB57" s="58"/>
    </row>
  </sheetData>
  <sheetProtection formatCells="0" insertRows="0" deleteColumns="0" deleteRows="0"/>
  <mergeCells count="14">
    <mergeCell ref="T11:AB11"/>
    <mergeCell ref="B11:C12"/>
    <mergeCell ref="B4:C5"/>
    <mergeCell ref="E4:E5"/>
    <mergeCell ref="F4:F5"/>
    <mergeCell ref="G4:G5"/>
    <mergeCell ref="H4:H5"/>
    <mergeCell ref="I4:I5"/>
    <mergeCell ref="AJ2:AN2"/>
    <mergeCell ref="B2:C2"/>
    <mergeCell ref="E2:I2"/>
    <mergeCell ref="K2:R2"/>
    <mergeCell ref="T2:AB2"/>
    <mergeCell ref="AD2:AH2"/>
  </mergeCells>
  <pageMargins left="0.7" right="0.7" top="0.75" bottom="0.75" header="0.3" footer="0.3"/>
  <pageSetup orientation="portrait" r:id="rId4"/>
  <drawing r:id="rId5"/>
  <tableParts count="2">
    <tablePart r:id="rId6"/>
    <tablePart r:id="rId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4"/>
  </sheetPr>
  <dimension ref="A1"/>
  <sheetViews>
    <sheetView topLeftCell="A70" zoomScale="160" zoomScaleNormal="160" workbookViewId="0">
      <selection activeCell="A92" sqref="A92"/>
    </sheetView>
  </sheetViews>
  <sheetFormatPr baseColWidth="10" defaultColWidth="10.88671875" defaultRowHeight="14.4" x14ac:dyDescent="0.3"/>
  <cols>
    <col min="1" max="16384" width="10.88671875" style="89"/>
  </cols>
  <sheetData/>
  <sheetProtection algorithmName="SHA-512" hashValue="iunMqsIAAJpU1SuuCpom6/C/KK3v+k1L0LfXlvUBFUn3eMVP15dzTl3eMrX7DchUilUyRNCiBNYZRl7zqOWgbw==" saltValue="X673awZaHo16JZrjQ50mbw==" spinCount="100000" sheet="1" formatCells="0" formatColumns="0" formatRows="0" sort="0" autoFilter="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Listas</vt:lpstr>
      <vt:lpstr>Avance Cuantitativo Productos</vt:lpstr>
      <vt:lpstr>Avance Cualitativo Productos</vt:lpstr>
      <vt:lpstr>Panel de Control PRODUCTOS</vt:lpstr>
      <vt:lpstr>Cálculos PRODUCTOS</vt:lpstr>
      <vt:lpstr>Gráficos PRODUCTOS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Raul Esteban Cuervo Sastoque</dc:creator>
  <cp:keywords/>
  <dc:description/>
  <cp:lastModifiedBy>Politicas Publicas</cp:lastModifiedBy>
  <cp:revision/>
  <cp:lastPrinted>2025-12-05T13:30:30Z</cp:lastPrinted>
  <dcterms:created xsi:type="dcterms:W3CDTF">2022-11-01T15:37:57Z</dcterms:created>
  <dcterms:modified xsi:type="dcterms:W3CDTF">2025-12-05T13:30:54Z</dcterms:modified>
  <cp:category/>
  <cp:contentStatus/>
</cp:coreProperties>
</file>