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Gestión Ambiental\"/>
    </mc:Choice>
  </mc:AlternateContent>
  <xr:revisionPtr revIDLastSave="130" documentId="13_ncr:1_{B1DFAB04-2BC9-49DB-887A-B77E4104E418}" xr6:coauthVersionLast="47" xr6:coauthVersionMax="47" xr10:uidLastSave="{44A013BC-2F26-45C6-853E-7848956D10E8}"/>
  <bookViews>
    <workbookView xWindow="-108" yWindow="-108" windowWidth="23256" windowHeight="12456" tabRatio="842" firstSheet="3" activeTab="1" xr2:uid="{E9951750-6718-4E65-99C4-7D8C6E70D595}"/>
  </bookViews>
  <sheets>
    <sheet name="CONTROL DE CAMBIOS" sheetId="15" r:id="rId1"/>
    <sheet name="Riesgos Gestión #1" sheetId="7" r:id="rId2"/>
    <sheet name="Riesgos Gestión #2" sheetId="12" r:id="rId3"/>
    <sheet name="Riesgos Gestión #3" sheetId="13" r:id="rId4"/>
    <sheet name="Datos" sheetId="5" r:id="rId5"/>
    <sheet name="Instructivo" sheetId="4" r:id="rId6"/>
  </sheets>
  <definedNames>
    <definedName name="_xlnm.Print_Area" localSheetId="1">'Riesgos Gestión #1'!$A$1:$BB$25</definedName>
    <definedName name="_xlnm.Print_Area" localSheetId="2">'Riesgos Gestión #2'!$A$1:$BB$20</definedName>
    <definedName name="_xlnm.Print_Area" localSheetId="3">'Riesgos Gestión #3'!$A$1:$BB$22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7" l="1"/>
  <c r="AF20" i="13"/>
  <c r="AF19" i="13"/>
  <c r="AF17" i="13"/>
  <c r="AF18" i="13"/>
  <c r="AF17" i="12"/>
  <c r="AF23" i="7"/>
  <c r="AF22" i="7"/>
  <c r="AF21" i="7"/>
  <c r="AF20" i="7"/>
  <c r="AF19" i="7"/>
  <c r="AF18" i="7"/>
  <c r="X19" i="13"/>
  <c r="AA19" i="13"/>
  <c r="AA20" i="13"/>
  <c r="X20" i="13"/>
  <c r="AA18" i="13"/>
  <c r="X18" i="13"/>
  <c r="AK20" i="13" s="1"/>
  <c r="AJ20" i="13" s="1"/>
  <c r="AA17" i="13"/>
  <c r="X17" i="13"/>
  <c r="AK17" i="13" s="1"/>
  <c r="K17" i="13"/>
  <c r="L17" i="13"/>
  <c r="M17" i="13"/>
  <c r="H17" i="13"/>
  <c r="N17" i="13"/>
  <c r="O17" i="13"/>
  <c r="I17" i="13"/>
  <c r="AG17" i="13" s="1"/>
  <c r="AH17" i="13" s="1"/>
  <c r="AA18" i="12"/>
  <c r="X18" i="12"/>
  <c r="AA17" i="12"/>
  <c r="X17" i="12"/>
  <c r="K17" i="12"/>
  <c r="L17" i="12" s="1"/>
  <c r="H17" i="12"/>
  <c r="I17" i="12" s="1"/>
  <c r="AI17" i="12" s="1"/>
  <c r="AA23" i="7"/>
  <c r="X23" i="7"/>
  <c r="AJ23" i="7"/>
  <c r="AJ22" i="7"/>
  <c r="AA22" i="7"/>
  <c r="X22" i="7"/>
  <c r="AA21" i="7"/>
  <c r="X21" i="7"/>
  <c r="X20" i="7"/>
  <c r="AA20" i="7"/>
  <c r="X19" i="7"/>
  <c r="AA19" i="7"/>
  <c r="AA18" i="7"/>
  <c r="X18" i="7"/>
  <c r="AA17" i="7"/>
  <c r="K17" i="7"/>
  <c r="L17" i="7" s="1"/>
  <c r="X17" i="7"/>
  <c r="H17" i="7"/>
  <c r="I17" i="7" s="1"/>
  <c r="AI17" i="7" s="1"/>
  <c r="X41" i="4"/>
  <c r="Z41" i="4" s="1"/>
  <c r="Y41" i="4"/>
  <c r="M17" i="12" l="1"/>
  <c r="N17" i="12"/>
  <c r="O17" i="12" s="1"/>
  <c r="AK19" i="13"/>
  <c r="AJ19" i="13" s="1"/>
  <c r="AJ17" i="13"/>
  <c r="AL17" i="13" s="1"/>
  <c r="AM17" i="13" s="1"/>
  <c r="M17" i="7"/>
  <c r="AK17" i="7" s="1"/>
  <c r="AJ17" i="7" s="1"/>
  <c r="N17" i="7"/>
  <c r="O17" i="7" s="1"/>
  <c r="AK17" i="12"/>
  <c r="AJ17" i="12" s="1"/>
  <c r="AI17" i="13"/>
  <c r="AK18" i="13"/>
  <c r="AJ18" i="13" s="1"/>
  <c r="AG17" i="12"/>
  <c r="AH17" i="12" s="1"/>
  <c r="AL17" i="12" s="1"/>
  <c r="AM17" i="12" s="1"/>
  <c r="AG18" i="12"/>
  <c r="AG18" i="13"/>
  <c r="AG17" i="7"/>
  <c r="AH17" i="7" s="1"/>
  <c r="AG18" i="7"/>
  <c r="AI18" i="12" l="1"/>
  <c r="AH18" i="12"/>
  <c r="AK21" i="7"/>
  <c r="AJ21" i="7" s="1"/>
  <c r="AK18" i="12"/>
  <c r="AJ18" i="12" s="1"/>
  <c r="AK19" i="7"/>
  <c r="AJ19" i="7" s="1"/>
  <c r="AI18" i="13"/>
  <c r="AG19" i="13" s="1"/>
  <c r="AH18" i="13"/>
  <c r="AL18" i="13" s="1"/>
  <c r="AM18" i="13" s="1"/>
  <c r="AK18" i="7"/>
  <c r="AL17" i="7"/>
  <c r="AM17" i="7" s="1"/>
  <c r="AH18" i="7"/>
  <c r="AI18" i="7"/>
  <c r="AG19" i="7" s="1"/>
  <c r="AI19" i="13" l="1"/>
  <c r="AG20" i="13" s="1"/>
  <c r="AH19" i="13"/>
  <c r="AL19" i="13" s="1"/>
  <c r="AM19" i="13" s="1"/>
  <c r="AL18" i="12"/>
  <c r="AM18" i="12" s="1"/>
  <c r="AJ18" i="7"/>
  <c r="AL18" i="7" s="1"/>
  <c r="AM18" i="7" s="1"/>
  <c r="AK20" i="7"/>
  <c r="AJ20" i="7" s="1"/>
  <c r="AI19" i="7"/>
  <c r="AG20" i="7" s="1"/>
  <c r="AH19" i="7"/>
  <c r="AL19" i="7" s="1"/>
  <c r="AM19" i="7" s="1"/>
  <c r="AI20" i="13" l="1"/>
  <c r="AH20" i="13"/>
  <c r="AL20" i="13" s="1"/>
  <c r="AM20" i="13" s="1"/>
  <c r="AH20" i="7"/>
  <c r="AL20" i="7" s="1"/>
  <c r="AM20" i="7" s="1"/>
  <c r="AI20" i="7"/>
  <c r="AG21" i="7" s="1"/>
  <c r="AI21" i="7" l="1"/>
  <c r="AG22" i="7" s="1"/>
  <c r="AH21" i="7"/>
  <c r="AL21" i="7" s="1"/>
  <c r="AM21" i="7" s="1"/>
  <c r="AH22" i="7" l="1"/>
  <c r="AL22" i="7" s="1"/>
  <c r="AM22" i="7" s="1"/>
  <c r="AI22" i="7"/>
  <c r="AG23" i="7" s="1"/>
  <c r="AH23" i="7" l="1"/>
  <c r="AL23" i="7" s="1"/>
  <c r="AM23" i="7" s="1"/>
  <c r="AI2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F713FCDD-70CA-A647-BACB-77B3C2A19A9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2A913E80-9949-374B-B792-D24B454E6503}">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<sst xmlns="http://schemas.openxmlformats.org/spreadsheetml/2006/main" count="687" uniqueCount="381">
  <si>
    <t>CONTROL DE CAMBIOS</t>
  </si>
  <si>
    <t>A continuación se presentan los cambios realizados de los riesgos en el p roceso</t>
  </si>
  <si>
    <t xml:space="preserve">FECHA </t>
  </si>
  <si>
    <t>CAMBIO REALIZADO</t>
  </si>
  <si>
    <r>
      <rPr>
        <b/>
        <u/>
        <sz val="11"/>
        <rFont val="Calibri"/>
        <family val="2"/>
        <scheme val="minor"/>
      </rPr>
      <t>Riesgo 1:</t>
    </r>
    <r>
      <rPr>
        <sz val="11"/>
        <rFont val="Calibri"/>
        <family val="2"/>
        <scheme val="minor"/>
      </rPr>
      <t xml:space="preserve"> Se modifica la fecha de implementación de la acción de fortalecimiento a 30/08/2026</t>
    </r>
  </si>
  <si>
    <r>
      <rPr>
        <b/>
        <u/>
        <sz val="11"/>
        <rFont val="Calibri"/>
        <family val="2"/>
        <scheme val="minor"/>
      </rPr>
      <t>Riesgo 2:</t>
    </r>
    <r>
      <rPr>
        <sz val="11"/>
        <rFont val="Calibri"/>
        <family val="2"/>
        <scheme val="minor"/>
      </rPr>
      <t xml:space="preserve"> Se modifica la fecha de implementación de la acción de fortalecimiento a 30/12/2026</t>
    </r>
  </si>
  <si>
    <r>
      <rPr>
        <b/>
        <u/>
        <sz val="11"/>
        <rFont val="Calibri"/>
        <family val="2"/>
        <scheme val="minor"/>
      </rPr>
      <t>Riesgo 3:</t>
    </r>
    <r>
      <rPr>
        <sz val="11"/>
        <rFont val="Calibri"/>
        <family val="2"/>
        <scheme val="minor"/>
      </rPr>
      <t xml:space="preserve"> Se realiza ajuste al plan de acción quedando así: Realizar una capacitación frente a los controles operacionales existentes en el Instructivo de Aprovechamiento Forestal  a los referentes y responsables de las unidades de protección integral  rurales .
De igual manera, se modifica la fecha de implementación de la acción de fortalecimiento a 30/12/2026</t>
    </r>
  </si>
  <si>
    <t>Se podrán incluir más filas de acuerdo a la cambios realizados</t>
  </si>
  <si>
    <t xml:space="preserve">DIRECCIONAMIENTO ESTRATÉGICO </t>
  </si>
  <si>
    <t>CÓDIGO</t>
  </si>
  <si>
    <t>E-DES-FT-015</t>
  </si>
  <si>
    <t>VERSIÓN</t>
  </si>
  <si>
    <t>11</t>
  </si>
  <si>
    <t>MAPA DE RIESGOS DE GESTIÓN Y RIESGOS FISCALES</t>
  </si>
  <si>
    <t>PÁGINA</t>
  </si>
  <si>
    <t>1 DE 3</t>
  </si>
  <si>
    <t>VIGENTE DESDE</t>
  </si>
  <si>
    <t>Proceso</t>
  </si>
  <si>
    <t>GESTION AMBIENTAL</t>
  </si>
  <si>
    <t>Objetivo del Proceso</t>
  </si>
  <si>
    <t>Prevenir y/o mitigar los impactos ambientales generados por el desarrollo de las actividades misionales y administrativas en el IDIPRON a través del desarrollo de  planes, programas, acciones y controles operacionales que involucren a los NNAJ, funcionarios, contratistas y proveedores en las unidades de protección integral y sedes administrativas del instituto; con el fin de dar cumplimiento al marco normativo ambiental y políticas públicas ambientales distritales y nacionales.</t>
  </si>
  <si>
    <t>Alcance</t>
  </si>
  <si>
    <t>El proceso inicia con la identificación de aspectos, impactos ambientales y el marco normativo ambiental aplicable en las unidades de protección integral y sedes administrativas; siguiendo con la formulación e implementación de planes, programas, acciones y controles  operacionales para la prevención y mitigación de las afectaciones negativas al medio ambiente producidas por la ejecución de las actividades misionales y administrativas del instituto; finalizando con el seguimiento de los planes, programas, acciones, controles operacionales y reporte de avance que den cumplimiento al marco de la normatividad ambiental aplicable y al mejoramiento del desempeño ambiental de la Entidad.</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</si>
  <si>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</si>
  <si>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</si>
  <si>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</si>
  <si>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</si>
  <si>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</si>
  <si>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</si>
  <si>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</si>
  <si>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</si>
  <si>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</si>
  <si>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</si>
  <si>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</si>
  <si>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</si>
  <si>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</si>
  <si>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</si>
  <si>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</si>
  <si>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</si>
  <si>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</si>
  <si>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</si>
  <si>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</si>
  <si>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</si>
  <si>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</si>
  <si>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</si>
  <si>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</si>
  <si>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</si>
  <si>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</si>
  <si>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</si>
  <si>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</si>
  <si>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</si>
  <si>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</si>
  <si>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</si>
  <si>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</si>
  <si>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</si>
  <si>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</si>
  <si>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</si>
  <si>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</si>
  <si>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</si>
  <si>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</si>
  <si>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</si>
  <si>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</si>
  <si>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</si>
  <si>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</si>
  <si>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</si>
  <si>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</si>
  <si>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</si>
  <si>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</si>
  <si>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</si>
  <si>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</si>
  <si>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</si>
  <si>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</si>
  <si>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</si>
  <si>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</si>
  <si>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Multas y Sanciones</t>
  </si>
  <si>
    <t xml:space="preserve">Incumplimiento de los lineamientos legales y operacionales para realizar la gestión integral de todas las corrientes de residuos generadas en las sedes del IDIPRON </t>
  </si>
  <si>
    <t>Posibles afectaciones económicas por multas y sanciones de la autoridad ambiental debido al incumplimiento de los lineamientos legales y operacionales para realizar la gestión integral de todas las corrientes de residuos sólidos generados en las sedes del IDIPRON</t>
  </si>
  <si>
    <t xml:space="preserve">Afectación mayor a 3000 SMLMV </t>
  </si>
  <si>
    <t>El/la responsable del proceso de Gestión Ambiental</t>
  </si>
  <si>
    <t>Trimestralmente</t>
  </si>
  <si>
    <t>Revisar y verificar la información referente a la recolección de residuos sólidos en el cual se incorporan las sedes generadoras</t>
  </si>
  <si>
    <t>Se consolida la información referente a la recolección de residuos sólidos en el cual se incorporan las sedes generadoras, la fecha en que se generó la recolección, la empresa que realizo la recolección, la certificación y/o manifiesto de recolección y la cantidad de kilogramos recogidos por cada una de las clases de residuos.</t>
  </si>
  <si>
    <t xml:space="preserve">Se solicita a través de correo electrónico el ajuste a los/as profesionales y/o técnicos/as del proceso de Gestión Ambiental que apoyan la supervisión de los contratos y/o acuerdos de corresponsabilidad para la recolección de residuos </t>
  </si>
  <si>
    <t xml:space="preserve">Consolidado Integral de Generación de Residuos A-GAM-FT-005
Correos electrónicos ( Cuando aplique) </t>
  </si>
  <si>
    <t>Detectivo</t>
  </si>
  <si>
    <t>Manual</t>
  </si>
  <si>
    <t>Documentado</t>
  </si>
  <si>
    <t>Manual de Gestión Integral de Residuos A-GAM-MA-002</t>
  </si>
  <si>
    <t>Continua</t>
  </si>
  <si>
    <t>Con registro</t>
  </si>
  <si>
    <t>REDUCIR EL RIESGO</t>
  </si>
  <si>
    <t>Realizar capacitaciones frente a los controles operacionales existentes en el Manual de Gestión Integral de Residuos  a los refrentes y responsables de las unidades de protección integral y sedes administrativas</t>
  </si>
  <si>
    <t xml:space="preserve"> Profesionales del Área de Gestión Ambiental</t>
  </si>
  <si>
    <t>Durante el periodo se diligencio por parte de la anterior contratista el formato A-GAM-FT-005 en el cual se consolida la información de los residuos Generados para el periodo comprendido, en donde para la vigencia 2026 se generaron 3349,12 kg de residuos en las sedes.de Enero, y en febrero se generaron 41472 Kg de residuos.</t>
  </si>
  <si>
    <t>La actividad se reportará en eun próximo seguimiento</t>
  </si>
  <si>
    <t>N/A</t>
  </si>
  <si>
    <t xml:space="preserve">
20/05/2026
Una vez revisada la evidencia aportada por el proceso se evidencia la correcta de ejecución del control, con el diligenciamiento de la matriz Consolidada Integral de Generación de Residuos.
Respecto a la ejecución de la acción de fortalecimiento el proceso no reportó ejecución de la misma,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</si>
  <si>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evidenció la ejecución de la actividad de control. Se verificó el formato A-GAM-FT-005 Programa de Gestión Integral de Residuos Sólidos correspondiente al periodo evaluado, con registros de seguimiento a la gestión de residuos sólidos debidamente diligenciados.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capacitaciones en las unidades sobre gestión integral de residuos sólidos, con plazo al 30/08/2026. El plazo se encuentra vigente; se recomienda ejecutar y documentar oportunamente la capacitación dentro del término establecido.
</t>
    </r>
    <r>
      <rPr>
        <b/>
        <sz val="11"/>
        <color rgb="FF000000"/>
        <rFont val="Times New Roman"/>
      </rPr>
      <t xml:space="preserve">CONTROL 2
</t>
    </r>
    <r>
      <rPr>
        <sz val="11"/>
        <color rgb="FF000000"/>
        <rFont val="Times New Roman"/>
      </rPr>
      <t xml:space="preserve">Se evidenció la ejecución de la actividad de control. Se verificaron los documentos de las carpetas 1854 y 2041 que dan cuenta de la gestión y seguimiento realizados durante el periodo evaluado.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3
</t>
    </r>
    <r>
      <rPr>
        <sz val="11"/>
        <color rgb="FF000000"/>
        <rFont val="Times New Roman"/>
      </rPr>
      <t xml:space="preserve">Se evidenció la ejecución de la actividad de control. Se verificaron los manifiestos de recolección de residuos orgánicos de los meses de enero, febrero, marzo y abril de 2026, así como los manifiestos de residuos peligrosos (cadena de custodia) del periodo evaluado.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4
</t>
    </r>
    <r>
      <rPr>
        <sz val="11"/>
        <color rgb="FF000000"/>
        <rFont val="Times New Roman"/>
      </rPr>
      <t xml:space="preserve"> Se reportó que durante este periodo no se dio aplicación a la actividad de control. El proceso no allegó soportes de ejecución para este control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5
</t>
    </r>
    <r>
      <rPr>
        <sz val="11"/>
        <color rgb="FF000000"/>
        <rFont val="Times New Roman"/>
      </rPr>
      <t xml:space="preserve">La evidencia aportada no permite verificar la ejecución de la actividad de control de manera completa, debido a que únicamente se aportó el formato A-GAM-FT-007 correspondiente a la visita realizada a la UPI Servita, sin que se hayan allegado los registros de las demás visitas requeridas durante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6
</t>
    </r>
    <r>
      <rPr>
        <sz val="11"/>
        <color rgb="FF000000"/>
        <rFont val="Times New Roman"/>
      </rPr>
      <t xml:space="preserve">Se reportó que durante este periodo no se dio aplicación a la actividad de control. El proceso no allegó soportes de ejecución para este control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7
</t>
    </r>
    <r>
      <rPr>
        <sz val="11"/>
        <color rgb="FF000000"/>
        <rFont val="Times New Roman"/>
      </rPr>
      <t xml:space="preserve">Se evidenció la ejecución de la actividad de control. Se verificaron los soportes correspondientes al periodo evaluado que dan cuenta del cumplimiento de la actividad.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NO SE HA MATERIALIZADO EL RIESGO
</t>
    </r>
    <r>
      <rPr>
        <sz val="11"/>
        <color rgb="FF000000"/>
        <rFont val="Times New Roman"/>
      </rPr>
      <t xml:space="preserve">No se reportó materialización del riesgo durante el periodo evaluado (N/A).
</t>
    </r>
    <r>
      <rPr>
        <b/>
        <sz val="11"/>
        <color rgb="FF000000"/>
        <rFont val="Times New Roman"/>
      </rPr>
      <t xml:space="preserve">RECOMENDACIONES
</t>
    </r>
    <r>
      <rPr>
        <sz val="11"/>
        <color rgb="FF000000"/>
        <rFont val="Times New Roman"/>
      </rPr>
      <t xml:space="preserve">Se recomienda al proceso: 1. Ejecutar y documentar la acción de fortalecimiento del Control 1 (capacitaciones sobre gestión integral de residuos sólidos) dentro del plazo establecido (30/08/2026), allegando los soportes correspondientes en el siguiente seguimiento; 2. Gestionar la ejecución y documentación completa de las visitas de seguimiento ambiental del Control 5, asegurando que se aporten evidencias de todas las UPIs requeridas; 3. Para los Controles 4 y 6, precisar si la no aplicación obedece a una condición operativa del periodo o a una omisión en la ejecución, con el fin de garantizar la trazabilidad del seguimiento.
</t>
    </r>
  </si>
  <si>
    <t>La Gerencia Administrativa</t>
  </si>
  <si>
    <t>Cada vigencia</t>
  </si>
  <si>
    <t xml:space="preserve">Verificar que se cuente con contratos vigentes para la disposición de los diferentes tipos de residuos. </t>
  </si>
  <si>
    <t>Se hace seguimiento a los contratos y a los acuerdos de corresponsabilidad en la vigencia, y mensualmente se generan las alertas correspondiente a los contratos.</t>
  </si>
  <si>
    <t>En caso de que se detecte que no se cuenta con el contrato vigente para la disposición de algún tipo de residuo, se procede a adelantar el respectivo proceso contractual</t>
  </si>
  <si>
    <t>Contratos firmados / Actas de modificación de adición y prórroga de los contratos
Plan anual de adquisiciones, requerimiento técnico y anexo técnico y la radicación del proceso contractual ante la Gerencia de Contratación.( Cuando aplique)</t>
  </si>
  <si>
    <t>Preventivo</t>
  </si>
  <si>
    <t>Manual Gestión Integral de Residuos A-GAM-MA-002</t>
  </si>
  <si>
    <t>Durante el periodo se llevo a cabo de la ejecucion de los Contratos No. 2025-2041 y No. 2025-1854 relacionados con la gestion integral de residuos organicos y la gestion integral de residuos peligrosos y especiales.  Referente a la linea de resiudos aprovechables aun se trabaja en la elaboracion del Acuerdo de Corresponsabilidad y actualmente se encuentra en fase de reanalisis y ajuste.</t>
  </si>
  <si>
    <t>20/05/2026
Una vez revisadas las evidencias aportadas  por el proceso se evidencia la correcta de ejecución del control frente a la suscripción de los contratos  2025-2041 y No. 2025-1854 , los cuales se encargan de la gestion integral de residuos organicos y la gestion integral de residuos peligrosos y especiales
Respecto a la ejecución de la acción de fortalecimiento el proceso no reportó ejecución de la misma, teniendo en cuenta el plazo establecido para el cumplimiento de la misma.
No hubo materialización del riesgo
&amp;</t>
  </si>
  <si>
    <t xml:space="preserve">Los/as profesionales y/o técnicos que apoyan la supervisión de los contratos </t>
  </si>
  <si>
    <t>Mensualmente</t>
  </si>
  <si>
    <t>Validar que en las plataformas y/o correos electrónicos enviados por los proveedores, se encuentren los  manifiestos de recolección de residuos, así como los certificados de disposición final de los mismos</t>
  </si>
  <si>
    <t xml:space="preserve">Los/as proveedores/as que cuenten con plataformas virtuales, ponen a disposición el acceso para generar las solicitudes de recolección de residuos y para acceder a los manifiestos de recolección </t>
  </si>
  <si>
    <t>Se solicita al/la proveedor/a, por correo electrónico que se realice el cargue y/o envío de los manifiestos</t>
  </si>
  <si>
    <t xml:space="preserve">Manifiestos de recolección de residuos 
y/o Certificaciones emitidas
Correos electrónicos ( Cuando aplique)
</t>
  </si>
  <si>
    <t>Cláusulas de los contratos de los proveedores de servicios de recolección de residuos</t>
  </si>
  <si>
    <t>Se adjuntan los manifiestos de los servicios de recolección que prestaron las respectivas empresas gestoras de residuos organicos, hospitalarios, especiales.</t>
  </si>
  <si>
    <t>20/05/2026
Una vez revisadas las evidencias aportadas  por el proceso se evidencia la correcta de ejecución del control respecto a los manifiestos de recolección de residuos (organicos y peligrosos) que se realizaron durante el trimestre objeto de esta evalaucaión
Respecto a la ejecución de la acción de fortalecimiento el proceso no reportó ejecución de la misma, teniendo en cuenta el plazo establecido para el cumplimiento de la misma.
No hubo materialización del riesgo
&amp;</t>
  </si>
  <si>
    <t>Los profesionales, tecnólogos o técnicos del proceso de Gestión Ambiental</t>
  </si>
  <si>
    <t xml:space="preserve">Revisar y verificar que se estén aplicando los lineamientos establecidos en el Manual de Gestión Integral de Residuos A-GAM-MA-002 y el  Manual de Operaciones del Proceso de Gestión Ambiental  A-GAM-MA-004 </t>
  </si>
  <si>
    <t xml:space="preserve">Se realizan visita a todas las Unidades de Protección Integral, revisando la gestión adecuada de los residuos, de acuerdo con los lineamientos establecidos en el Manual de Gestión Integral de Residuos A-GAM-MA-002 y el  Manual de Operaciones del Proceso de Gestión Ambiental  A-GAM-MA-004 </t>
  </si>
  <si>
    <t>Se realizan las observaciones y recomendaciones en las actas de visita, para que las UPIS subsanen los lineamientos que no se estén implementando</t>
  </si>
  <si>
    <t xml:space="preserve">A-GOD-FT-004 ACTA /  A-GDH-FT-010 
REGISTRO DE ASISTENCIA COMITÉ, JUNTA, REUNION
</t>
  </si>
  <si>
    <t xml:space="preserve">Manual de Operaciones del Proceso de Gestión Ambiental  A-GAM-MA-004 </t>
  </si>
  <si>
    <t>Durante la vigencia no se realizo esta actividad ya que se priorizaron otras de mayor relevancia.</t>
  </si>
  <si>
    <t>20/05/2026
El proceso no realiza reporte de ejecución del control ni de la acción de fortalecimiento, teniendo en cuenta el plazo establecido para el cumplimiento de la misma. Teniendo en cuenta lo anterior no se puede evidenciar que el control se haya aplicado
No hubo materialización del riesgo
&amp;</t>
  </si>
  <si>
    <t xml:space="preserve">Los/as profesionales del área de Gestión Ambiental </t>
  </si>
  <si>
    <t>Semestral</t>
  </si>
  <si>
    <t>Verificar el cumplimiento de la normatividad ambiental relacionada con los residuos sólidos, los resultados de las visitas son registrados en los formatos A-GAM-FT 014 y A-GAM-FT 007.</t>
  </si>
  <si>
    <t>Se realizan 2 visitas de diagnóstico y 2 visitas de seguimiento ambiental a todas las Upis y Sedes Administrativas en el transcurso de la vigencia (Que se encuentren activas y en operación)</t>
  </si>
  <si>
    <t>Se registran en los formatos, los incumplimientos y se determina una fecha para subsanación</t>
  </si>
  <si>
    <t>Formatos: A-GAM-FT 014 Seguimiento a Programas PIGA y Manual de Saneamiento Básico
 A-GDO-FT-004 Acta de Visita y/o A-GAM-FT-007 Informe de gestión ambiental a sedes y/o unidades, seguimiento a de acuerdo con el procedimiento de A-GAM-PR-002</t>
  </si>
  <si>
    <t>Correctivo</t>
  </si>
  <si>
    <t>Procedimiento Seguimiento Ambiental A-GAM-PR-003</t>
  </si>
  <si>
    <t xml:space="preserve">Durante la Vigencia el equipo ambiental realizo una (1) visita en donde se evidenció las necesidades frente a la gestión de residuos; esto teniendo en cuenta que el equipo técnico ambiental en dicho periodo se vió reducido a tres personas (de las cuales una cedio el contrato); por lo que se priorizó la estructuración de documentos asociados a los nuevos procesos contractuales necesarios para el adecuado funcionamiento de las sedes en materia ambiental y a los aun en ejecucion.
</t>
  </si>
  <si>
    <t>20/05/2026
El proceso reporta la realización de una visita de las dos que se tiene programadas, para realizar la inspección ambiental en  las UPIS, por cuanto se da cumplimien parcial a la acción. Sin embargo es importante mencionar que la  frecuencia de medición de la acción tiene periodicidad semestral por lo que se podría completar su ejecución en los meses que restan para finalizar el primer semestre del años.
Respecto de fortalecimiento, el proceso no reporta ejecución, teniendo en cuenta el plazo establecido para el cumplimiento de la misma.
No hubo materialización del riesgo
&amp;</t>
  </si>
  <si>
    <t>Los/as profesionales y/o técnicos del área de gestión ambiental</t>
  </si>
  <si>
    <t>En el momento en que se detecta una disposición de residuos inadecuada</t>
  </si>
  <si>
    <t>Validar la recolección de los residuos y su disposición de acuerdo con los lineamientos establecidos en el  Manual de Gestión Integral de Residuos A-GAM-MA-002</t>
  </si>
  <si>
    <t>Se realiza visitas de inspección a la UPI o sede administrativa realizando un seguimiento frecuente para evitar que se sigan presentando las situaciones detectadas</t>
  </si>
  <si>
    <t>Se dejan las observaciones en el formato A-GDO-FT-004 Acta de Visita
A-GDH-FT-010 Registro de Asistencia Comité, Junta, Reunión</t>
  </si>
  <si>
    <t>A-GDO-FT-004 Acta de Visita /  A-GDH-FT-010 Registro de Asistencia Comité, Junta, Reunión</t>
  </si>
  <si>
    <t>Sin registro</t>
  </si>
  <si>
    <t>El comité estructurador</t>
  </si>
  <si>
    <t>Cada vez que se adelante proceso de estructuración de los contratos de gestión de residuos</t>
  </si>
  <si>
    <t>Verificar la inclusión de los amparos exigidos a los proponentes, la suscripción de tomas de aseguramiento relacionadas con la calidad del servicio, cumplimiento a las obligaciones contractuales y la responsabilidad civil extracontractual frente a la posible mala gestión de los residuos</t>
  </si>
  <si>
    <t>Se verifica que en los estudios previos, se encuentren como requisito la constitución de pólizas de amparo por cada uno de los ítems solicitados.</t>
  </si>
  <si>
    <t>Se le envía correo electrónico a la gerencia de contratación y al comité estructurador para que se incluyan los amparos correspondientes</t>
  </si>
  <si>
    <t xml:space="preserve">Contratos de recolección de residuos en los cuales se establece la constitución de pólizas de amparo / Pólizas de amparo 
Correo electrónico (Cuando aplique)
</t>
  </si>
  <si>
    <t>Manual de contratación</t>
  </si>
  <si>
    <t>En los procesos contractuales vigentes (No. 2041 y No. 1854), se incluyeron las polizas que incluyen los amparon rqueridos</t>
  </si>
  <si>
    <t>20/05/2026
El proceso reporta la suscripción de 2 contratos durante la vigencia 2025, en los cuales se evidencia la obligatoriedad de suscripción de las garantías de acuerdo a cada caso, por lo cual se da cumplimiento al control establecido.
Respecto de fortalecimiento, el proceso no reporta ejecución, teniendo en cuenta el plazo establecido para el cumplimiento de la misma.
No hubo materialización del riesgo
&amp;</t>
  </si>
  <si>
    <t xml:space="preserve">Se podrán incluir más filas de acuerdo a la cantidad de riesgos que se requieran relacionar </t>
  </si>
  <si>
    <t>Vr. 02; 13/03/2024</t>
  </si>
  <si>
    <t>2 DE 3</t>
  </si>
  <si>
    <t xml:space="preserve">Incumplimiento de los lineamientos legales y operacionales para realizar los vertimientos a las redes de alcantarillado y/o fuentes hídricas   generados en las sedes del IDIPRON </t>
  </si>
  <si>
    <t xml:space="preserve">Posibles afectaciones económicas por multas y sanciones de la autoridad ambiental debido al incumplimiento de los lineamientos legales y operacionales para realizar los vertimientos a las redes de alcantarillado y/o fuentes hídricas   generados en las sedes del IDIPRON </t>
  </si>
  <si>
    <t>Los/as referentes y responsables PIGA de cada Unidad de Protección Integral y/o sede administrativa</t>
  </si>
  <si>
    <t xml:space="preserve">Cada vez que se requiera hacer la recolección de los residuos líquidos y acuosos
</t>
  </si>
  <si>
    <t xml:space="preserve">Verificar el tipo de residuos (orgánicos y/o peligrosos) que se está generando en la UPI y/o sede administrativa  </t>
  </si>
  <si>
    <t xml:space="preserve">Se realizan visitas a las áreas de cocina como a los talleres de formación para identificar la necesidad de generar las solicitudes de recolección de residuos acuosos o líquidos (orgánicos y/o peligrosos), y proceden a realizar las solicitudes  a través de la mesa de ayuda en los servicios de recolección de los residuos, limpieza de trampas de grasa y pozos sépticos </t>
  </si>
  <si>
    <t>En el caso de que no se haya realizado la solicitud de recolección, los/as profesionales y/o técnicos responsables de la gestión ambiental, dejarán las observaciones en las actas de visita que se realizan de manera mensual en las unidades y su recomendación de radicar la solicitud en la mesa de ayuda.</t>
  </si>
  <si>
    <t>Reporte de la Mesa de Ayuda con la solicitud de recolección de residuos, limpieza de trampas de grasa y limpieza de pozos sépticos
Acta de visita ( Cuando aplique)</t>
  </si>
  <si>
    <t xml:space="preserve">Manual de Saneamiento Básico  A-GAM-MA-001 / Manual de Gestión Integral de Residuos A-GAM-MA-002  e Instructivo de Mesa de Ayuda A-GAM-IN-001 </t>
  </si>
  <si>
    <t>Realizar capacitaciones en las unidades en donde existen riesgo de vertimientos (por ejemplo comedores o donde se dictan talleres industriales como mantenimiento de motos, mantenimiento de vehículos, serigrafia, belleza, vitrales, mantenimiento de bicicletas, etc.) sobre el manejo de los residuos líquidos a fuentes hídricas</t>
  </si>
  <si>
    <t>Profesionales del Área de Gestión Ambiental</t>
  </si>
  <si>
    <t>Durante el periodo se tramitaron los diferentes requerimientos ambientales solicitados mediante el Aplicativo Aranda, sin embargo; estas solicitudes no corresponden a todas las gestionadas ya que muchas de estas fueron solicitadas por correo electronico ya que el aplicativo en ocasiones presentó inconsistencias.</t>
  </si>
  <si>
    <t>La actividad se reportará en un próximo seguimiento</t>
  </si>
  <si>
    <t>20/05/2026
Se realizó la revisión de la matriz allegada por el proceso en donde se evidencia el diligenciamiento de la Mesa de Ayuda con la solicitud de recolección de residuos para el periodo objeto de evlacaición, por tanto se establece elcorrecto cumplimiento del control.
Respecto de fortalecimiento, el proceso no reporta ejecución,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</si>
  <si>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evidenció la ejecución de la actividad de control. Se verificó el reporte de casos tramitados mediante el Aplicativo Aranda durante el periodo del 1 de enero al 30 de abril de 2026, con un total de 538 registros de solicitudes de gestión ambiental. El proceso indicó que algunas solicitudes fueron tramitadas por correo electrónico debido a inconsistencias presentadas en el aplicativo.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capacitaciones en las unidades sobre manejo de residuos líquidos a fuentes hídricas, con plazo al 30/12/2026. El plazo se encuentra vigente; se recomienda adelantar y documentar oportunamente las capacitaciones dentro del término establecido.
</t>
    </r>
    <r>
      <rPr>
        <b/>
        <sz val="11"/>
        <color rgb="FF000000"/>
        <rFont val="Times New Roman"/>
      </rPr>
      <t xml:space="preserve">CONTROL 2
</t>
    </r>
    <r>
      <rPr>
        <sz val="11"/>
        <color rgb="FF000000"/>
        <rFont val="Times New Roman"/>
      </rPr>
      <t xml:space="preserve">La evidencia aportada no permite verificar la ejecución completa de la actividad de control, debido a que únicamente se aportaron los informes de caracterización de agua residual de la </t>
    </r>
    <r>
      <rPr>
        <b/>
        <sz val="11"/>
        <color rgb="FF000000"/>
        <rFont val="Times New Roman"/>
      </rPr>
      <t xml:space="preserve">UPI Perdomo (análisis 15/04/2026) </t>
    </r>
    <r>
      <rPr>
        <sz val="11"/>
        <color rgb="FF000000"/>
        <rFont val="Times New Roman"/>
      </rPr>
      <t xml:space="preserve">y la </t>
    </r>
    <r>
      <rPr>
        <b/>
        <sz val="11"/>
        <color rgb="FF000000"/>
        <rFont val="Times New Roman"/>
      </rPr>
      <t>UPI Santa Lucía (análisis 20/03/2026 y 27/03/2026)</t>
    </r>
    <r>
      <rPr>
        <sz val="11"/>
        <color rgb="FF000000"/>
        <rFont val="Times New Roman"/>
      </rPr>
      <t xml:space="preserve">, sin que se hayan allegado los registros de las demás UPIs vinculadas al contrato. El proceso manifestó haber solicitado al contratista las evidencias faltantes, encontrándose a la espera de su recepción a la fecha del reporte.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MATERIALIZACIÓN DEL RIESGO
</t>
    </r>
    <r>
      <rPr>
        <sz val="11"/>
        <color rgb="FF000000"/>
        <rFont val="Times New Roman"/>
      </rPr>
      <t xml:space="preserve">El proceso indicó que la información sobre materialización del riesgo se reportará en un próximo seguimiento, por lo que no es posible verificar este aspecto en el presente periodo.
</t>
    </r>
    <r>
      <rPr>
        <b/>
        <sz val="11"/>
        <color rgb="FF000000"/>
        <rFont val="Times New Roman"/>
      </rPr>
      <t xml:space="preserve">RECOMENDACIONES
</t>
    </r>
    <r>
      <rPr>
        <sz val="11"/>
        <color rgb="FF000000"/>
        <rFont val="Times New Roman"/>
      </rPr>
      <t>Se recomienda al proceso: 1. Gestionar con el contratista la entrega oportuna de los informes de caracterización de agua residual faltantes para las demás UPIs vinculadas al contrato, y allegarlos en el siguiente seguimiento; 2. Garantizar que la totalidad de las solicitudes ambientales sean registradas en el Aplicativo Aranda, evitando la gestión por correo electrónico que dificulta el trazado y seguimiento de los requerimientos; 3. Adelantar la acción de fortalecimiento del Control 1  mediante capacitaciones dentro del plazo establecido 30/12/2026 ; 4. Reportar en el siguiente seguimiento la información sobre materialización del riesgo.</t>
    </r>
  </si>
  <si>
    <t>El/la profesional y/o técnico que apoya la supervisión del contrato</t>
  </si>
  <si>
    <t>Anualmente</t>
  </si>
  <si>
    <t xml:space="preserve">Verificar en los informes de resultados de caracterización de aguas residuales si se cumplen con los parámetros establecidos en las Resoluciones 631 de 2015 y  3957 de 2009 para el vertimiento de aguas a redes de alcantarillado. </t>
  </si>
  <si>
    <t>Se revisan los informes de resultados suministrados por el proveedor contratado para realizar el análisis y caracterización de aguas residuales, para identificar el cumplimiento de los parámetros de las resoluciones señaladas</t>
  </si>
  <si>
    <t>En el momento en que se detecta un vertimiento por fuera de los parámetros establecidos, realiza la intervención de la upi o sede administrativa para identificar las razones que generan los resultados obtenidos y  proponer  los controles operativos y/o de  infraestructura  para  lograr que la caracterización del agua cumpla con los parámetros establecidos en las resoluciones de vertimientos</t>
  </si>
  <si>
    <t>Informes de resultados
Acta de visita ( Cuando aplique)</t>
  </si>
  <si>
    <t>Manual de Saneamiento Básico  A-GAM-MA-001</t>
  </si>
  <si>
    <t>Informe s de resultados</t>
  </si>
  <si>
    <t>Durante el periodo se finalizo la caracterizacion de agua residual de las UPIS vinculadas en el Contrato; sin embargo, se adjunta unicamente la evidencia de los informes de resultados de las UPI Perdomo y UPI Santa Lucia ya que no se encontro registro de los demas. Se solicito al contratista las evidencias y a la fecha del reporte nos encontramos a la espera de la entrega de los demas reportes.</t>
  </si>
  <si>
    <t>20/05/2026
El proceso allega dos informes de caracterización de aguas residuales de las UPIS de Perdomo y Santa Lucia, realizados dentro del periodo objeto de esta revisión,, manifestabdo que se solicitó al contratista los reportes de las demas sedes, sin embargo no se registran evidencias de esas solicitudes por cuanto la acción estaria cumpliendo de manera parcial.
Respecto de fortalecimiento, el proceso no reporta ejecución, teniendo en cuenta el plazo establecido para el cumplimiento de la misma.
No hubo materialización del riesgo
&amp;</t>
  </si>
  <si>
    <t>3 DE 3</t>
  </si>
  <si>
    <t xml:space="preserve">Incumplimiento de los lineamientos legales y operacionales por realización de intervenciones forestales sin  contar con los permisos sin autorización de la autoridad ambiental   </t>
  </si>
  <si>
    <t xml:space="preserve">Posibles afectaciones económicas por multas y sanciones debido al incumplimiento de los lineamientos legales y operacionales por realización de intervenciones forestales sin  contar con los permisos y/o autorización de la autoridad ambiental   </t>
  </si>
  <si>
    <t>Los/as profesionales, tecnólogos o técnicos del proceso de Gestión Ambiental</t>
  </si>
  <si>
    <t>Revisar el estado de los árboles para identificar posibles riesgos de caída que puedan afectar la infraestructura y/o poner en riesgo la vida de los NNAJ de las Unidades de Protección Integral.</t>
  </si>
  <si>
    <t>A través de las visitas mensuales, se realiza una inspección del estado fitosanitario de los árboles, para identificar los posibles riesgos de caída</t>
  </si>
  <si>
    <t>De manera aleatoria, se revisan los registros de las actas de visita, y se envía un correo electrónico al/la profesional con la observación de que no se evidencia ningún reporte relacionado con inspección forestal</t>
  </si>
  <si>
    <t>A-GOD-FT-004 ACTA /  A-GDH-FT-010 
REGISTRO DE ASISTENCIA COMITÉ, JUNTA, REUNION 
Correos electrónicos ( Cuando aplique)</t>
  </si>
  <si>
    <t>Manual de Operaciones del Proceso de Gestión Ambiental  A-GAM-MA-004</t>
  </si>
  <si>
    <t xml:space="preserve">Realizar una capacitación frente a los controles operacionales existentes en el Instructivo de Aprovechamiento Forestal  a los referentes y responsables de las unidades de protección integral  rurales </t>
  </si>
  <si>
    <t>Durante el periodo no se realizaron visitas a las sedes que son suseptibles de aprovechamiento forestal, sin embargo durante el periodo se avanza em la estructuracion del proceso contractual para aprovechamiento forestal en las unidades una vez finalice el actual.</t>
  </si>
  <si>
    <t xml:space="preserve">
20/05/2026
El proceso no realiza reporte de ejecución del control ni de la acción de fortalecimiento, teniendo en cuenta el plazo establecido para el cumplimiento de la misma.
No hubo materialización del riesgo
&amp;</t>
  </si>
  <si>
    <r>
      <rPr>
        <b/>
        <sz val="11"/>
        <color rgb="FF000000"/>
        <rFont val="Times New Roman"/>
      </rPr>
      <t xml:space="preserve">CONTROL 1
</t>
    </r>
    <r>
      <rPr>
        <sz val="11"/>
        <color rgb="FF000000"/>
        <rFont val="Times New Roman"/>
      </rPr>
      <t xml:space="preserve">Se reportó que durante este periodo no se dio aplicación a la actividad de control. El proceso indicó que no se realizaron visitas a sedes susceptibles de aprovechamiento forestal en el periodo enero-abril 2026, dado que se avanza en la estructuración del nuevo proceso contractual; la actividad se reportará en un próximo seguimiento.
</t>
    </r>
    <r>
      <rPr>
        <b/>
        <sz val="11"/>
        <color rgb="FF000000"/>
        <rFont val="Times New Roman"/>
      </rPr>
      <t xml:space="preserve">ACCIONES PARA EL FORTALECIMIENTO DEL CONTROL
</t>
    </r>
    <r>
      <rPr>
        <sz val="11"/>
        <color rgb="FF000000"/>
        <rFont val="Times New Roman"/>
      </rPr>
      <t xml:space="preserve">No se aportó evidencia que dé cuenta de la ejecución de la acción de fortalecimiento. Se formuló la acción: capacitación a referentes y responsables de UPIS rurales sobre el Instructivo de Aprovechamiento Forestal A-GAM-IN-002, con plazo al 31/12/2026. El plazo se encuentra vigente; se recomienda adelantar y documentar oportunamente la capacitación dentro del término establecido.
</t>
    </r>
    <r>
      <rPr>
        <b/>
        <sz val="11"/>
        <color rgb="FF000000"/>
        <rFont val="Times New Roman"/>
      </rPr>
      <t xml:space="preserve">CONTROL 2
</t>
    </r>
    <r>
      <rPr>
        <sz val="11"/>
        <color rgb="FF000000"/>
        <rFont val="Times New Roman"/>
      </rPr>
      <t xml:space="preserve">Se reportó que durante este periodo no se tramitaron permisos de aprovechamiento forestal. El proceso indicó que se continúa con la ejecución de solicitudes anteriormente tramitadas.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3
</t>
    </r>
    <r>
      <rPr>
        <sz val="11"/>
        <color rgb="FF000000"/>
        <rFont val="Times New Roman"/>
      </rPr>
      <t xml:space="preserve">La evidencia aportada no permite verificar la ejecución de la actividad de control, debido a que los documentos allegados : clausulado complementario, acta de inicio del 24/11/2025 y modificatorio No. 1 del Contrato 2025-2142 suscrito con ECOFLORA S.A.S. corresponden a documentos contractuales que acreditan la existencia y vigencia del contrato, pero no aportan soportes de las actividades de aprovechamiento y compensación forestal ejecutadas durante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CONTROL 4
</t>
    </r>
    <r>
      <rPr>
        <sz val="11"/>
        <color rgb="FF000000"/>
        <rFont val="Times New Roman"/>
      </rPr>
      <t xml:space="preserve">La evidencia aportada no permite verificar la ejecución de la actividad de control, debido a que los documentos allegados : clausulado complementario, acta de inicio del 24/11/2025 y modificatorio No. 1 del Contrato 2025-2142 con ECOFLORA S.A.S. son los mismos aportados para el Control 3 y corresponden a documentos contractuales, sin que se hayan allegado soportes de actividades de compensación forestal ejecutadas en el periodo enero-abril 2026.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NO SE HA MATERIALIZADO EL RIESGO
</t>
    </r>
    <r>
      <rPr>
        <sz val="11"/>
        <color rgb="FF000000"/>
        <rFont val="Times New Roman"/>
      </rPr>
      <t xml:space="preserve">No se reportó materialización del riesgo durante el periodo evaluado 
</t>
    </r>
    <r>
      <rPr>
        <b/>
        <sz val="11"/>
        <color rgb="FF000000"/>
        <rFont val="Times New Roman"/>
      </rPr>
      <t xml:space="preserve">RECOMENDACIONES
</t>
    </r>
    <r>
      <rPr>
        <sz val="11"/>
        <color rgb="FF000000"/>
        <rFont val="Times New Roman"/>
      </rPr>
      <t>Se recomienda al proceso: 1. Para el siguiente seguimiento, aportar evidencias de las actividades de aprovechamiento y compensación forestal ejecutadas en el marco del Contrato 2025-2142 con ECOFLORA S.A.S.  como informes de intervención, actas de campo o registros fotográficos que permitan verificar la ejecución de los Controles 3 y 4;  2. Documentar y reportar las visitas a sedes susceptibles de aprovechamiento forestal Control 1 y los trámites de permisos ambientales del Control 2 en el siguiente periodo de seguimiento; 3. Ejecutar y documentar la acción de fortalecimiento del Control 1 capacitación a referentes de UPIS rurales dentro del plazo establecido 31/12/2026, allegando los soportes en el siguiente seguimiento.</t>
    </r>
  </si>
  <si>
    <t>Los profesionales y/o técnicos de gestión ambiental</t>
  </si>
  <si>
    <t>Cada vez que ocurra un evento asociado al aprovechamiento forestal.</t>
  </si>
  <si>
    <t>Realizar el trámite de aprovechamiento forestal con la autoridad ambiental respectivo para obtener el permiso de aprovechamiento forestal:</t>
  </si>
  <si>
    <t xml:space="preserve">De acuerdo con los lineamientos establecidos por cada autoridad competente, se realiza el trámite </t>
  </si>
  <si>
    <t xml:space="preserve">En el caso de que no se obtenga el permiso por errores en el trámite, se realizan las subsanaciones correspondientes </t>
  </si>
  <si>
    <t>Oficios y/o constancias de radicación del trámite del permiso</t>
  </si>
  <si>
    <t>Instructivo de Aprovechamiento Forestal  A-GAM-IN-002</t>
  </si>
  <si>
    <t>Durante el periodo no se tramitó un permisos de aprovechamiento forestal, sin embargo; se continua con la ejecucion de las solicitudes anteriormente tramitadas.</t>
  </si>
  <si>
    <t xml:space="preserve">
20/05/2026
El proceso no realiza reporte de ejecución del control ni de la acción de fortalecimiento, teniendo en cuenta el plazo establecido para el cumplimiento de la misma.
No hubo materialización del riesgo
&amp;</t>
  </si>
  <si>
    <t>El /la Gerente Administrativo/a</t>
  </si>
  <si>
    <t>Cada vez que se requiera realizar aprovechamiento forestal en las Unidades</t>
  </si>
  <si>
    <t>Gestionar los recursos necesarios para la contratación del corte y siembra de los árboles autorizados por la autoridad ambiental.</t>
  </si>
  <si>
    <t>Se eleva la necesidad de contratación para realizar el aprovechamiento forestal identificado</t>
  </si>
  <si>
    <t>En el caso de que  no se gestione oportunamente los recursos y se adelante el contrato, se generan reprocesos en el trámite del permiso</t>
  </si>
  <si>
    <t>Contratos firmados
Oficios de solicitud de inicio del trámite ( Cuando aplique)</t>
  </si>
  <si>
    <t>Aprovechamiento Forestal  A-GAM-IN-002</t>
  </si>
  <si>
    <t xml:space="preserve">Durante el mes de noviembre 2025 se subscribió el contrato 2025-2142 Para PRESTAR EL SERVICIO PARA REALIZAR EL APROVECHAMIENTO Y COMPENSACIÓN FORESTAL EN LAS SEDES QUE SE ENCUENTREN BAJO RESPONSABILIDAD DEL IDIPRON. </t>
  </si>
  <si>
    <t xml:space="preserve">
20/05/2026
Una vez revisada la evidencua allegada por e l proceso se verifica la correcta ejecución del control , mediante la suscripción del contrato que establece el aprovechamiento forestal
Respecto a  la acción de fortalecimiento, no se reporta su ejecuión  teniendo en cuenta el plazo establecido para el cumplimiento de la misma.
No hubo materialización del riesgo
&amp;</t>
  </si>
  <si>
    <t>Cada vez que se adelante proceso de estructuración de aprovechamiento forestal</t>
  </si>
  <si>
    <t>Verificar la inclusión de los amparos exigidos a los proponentes, la suscripción de tomas de aseguramiento relacionadas con la calidad del servicio, cumplimiento a las obligaciones contractuales y la responsabilidad civil extracontractual frente a la posible mala gestión al realizar el aprovechamiento forestal</t>
  </si>
  <si>
    <t>Contratos de aprovechamiento y compensación forestal en los cuales se establece la constitución de pólizas de amparo / Pólizas de amparo 
Correo electrónico (Cuando aplique)</t>
  </si>
  <si>
    <t>area de impacto</t>
  </si>
  <si>
    <t>PROBABILIDAD DE OCURRENCIA</t>
  </si>
  <si>
    <t>IMPACTO</t>
  </si>
  <si>
    <t>CONDICIONES RIESGO INHERENTE</t>
  </si>
  <si>
    <t>AFECTACIÓN ECONÓMICA O PRESUPUESTAL</t>
  </si>
  <si>
    <t>MUY BAJA</t>
  </si>
  <si>
    <t>LEVE</t>
  </si>
  <si>
    <t>MUY BAJA - LEVE</t>
  </si>
  <si>
    <t>BAJO</t>
  </si>
  <si>
    <t>Afectación Menor o igual a 700 SMLMV</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</si>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</sst>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3">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b/>
      <sz val="14"/>
      <color theme="1"/>
      <name val="Times New Roman"/>
      <family val="1"/>
    </font>
    <font>
      <sz val="11"/>
      <name val="Times New Roman"/>
      <family val="1"/>
    </font>
    <font>
      <sz val="11"/>
      <color rgb="FF000000"/>
      <name val="Times New Roman"/>
    </font>
    <font>
      <b/>
      <sz val="16"/>
      <color rgb="FF000000"/>
      <name val="Calibri"/>
      <family val="2"/>
      <scheme val="minor"/>
    </font>
    <font>
      <sz val="11"/>
      <color rgb="FF000000"/>
      <name val="Calibri"/>
      <family val="2"/>
      <scheme val="minor"/>
    </font>
    <font>
      <b/>
      <sz val="10"/>
      <color rgb="FF000000"/>
      <name val="Times New Roman"/>
      <family val="1"/>
    </font>
    <font>
      <sz val="11"/>
      <name val="Calibri"/>
      <family val="2"/>
      <scheme val="minor"/>
    </font>
    <font>
      <b/>
      <u/>
      <sz val="11"/>
      <name val="Calibri"/>
      <family val="2"/>
      <scheme val="minor"/>
    </font>
    <font>
      <b/>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289">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11" fillId="0" borderId="0" xfId="0" applyFont="1"/>
    <xf numFmtId="164" fontId="2" fillId="4" borderId="1" xfId="0" applyNumberFormat="1" applyFont="1" applyFill="1" applyBorder="1" applyAlignment="1">
      <alignment horizontal="center" vertical="center"/>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1" xfId="0" applyFont="1" applyFill="1" applyBorder="1" applyAlignment="1">
      <alignment horizontal="center" vertical="center"/>
    </xf>
    <xf numFmtId="0" fontId="21" fillId="4" borderId="9"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0" xfId="0" applyFont="1" applyFill="1" applyBorder="1" applyAlignment="1">
      <alignment horizontal="center" vertical="center"/>
    </xf>
    <xf numFmtId="0" fontId="21" fillId="6" borderId="10"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33" xfId="0" applyFont="1" applyBorder="1" applyAlignment="1" applyProtection="1">
      <alignment horizontal="center" vertical="center"/>
      <protection locked="0"/>
    </xf>
    <xf numFmtId="0" fontId="28" fillId="0" borderId="33" xfId="0" applyFont="1" applyBorder="1" applyAlignment="1" applyProtection="1">
      <alignment vertical="center" wrapText="1"/>
      <protection hidden="1"/>
    </xf>
    <xf numFmtId="0" fontId="0" fillId="0" borderId="34" xfId="0" applyBorder="1" applyAlignment="1" applyProtection="1">
      <alignment horizontal="center" vertical="center"/>
      <protection hidden="1"/>
    </xf>
    <xf numFmtId="9" fontId="29" fillId="14" borderId="35" xfId="2" applyFont="1" applyFill="1" applyBorder="1" applyAlignment="1" applyProtection="1">
      <alignment horizontal="center" vertical="center"/>
      <protection hidden="1"/>
    </xf>
    <xf numFmtId="0" fontId="29" fillId="14" borderId="35"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36" xfId="0" applyFont="1" applyBorder="1" applyAlignment="1">
      <alignment horizontal="center" vertical="center"/>
    </xf>
    <xf numFmtId="0" fontId="25" fillId="0" borderId="38" xfId="0" applyFont="1" applyBorder="1" applyAlignment="1">
      <alignment horizontal="center" vertical="center"/>
    </xf>
    <xf numFmtId="9" fontId="0" fillId="0" borderId="39" xfId="2" applyFont="1" applyBorder="1" applyAlignment="1">
      <alignment horizontal="center" vertical="center"/>
    </xf>
    <xf numFmtId="9" fontId="0" fillId="0" borderId="40"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36" xfId="0" applyFont="1" applyBorder="1" applyAlignment="1">
      <alignment horizontal="center" vertical="center"/>
    </xf>
    <xf numFmtId="9" fontId="21" fillId="0" borderId="39" xfId="2" applyFont="1" applyFill="1" applyBorder="1" applyAlignment="1">
      <alignment horizontal="center" vertical="center"/>
    </xf>
    <xf numFmtId="0" fontId="21" fillId="0" borderId="23" xfId="0" applyFont="1" applyBorder="1" applyAlignment="1">
      <alignment horizontal="center" vertical="center"/>
    </xf>
    <xf numFmtId="0" fontId="0" fillId="11" borderId="36" xfId="0" applyFill="1" applyBorder="1" applyAlignment="1">
      <alignment horizontal="center" vertical="center"/>
    </xf>
    <xf numFmtId="0" fontId="0" fillId="11" borderId="37" xfId="0" applyFill="1" applyBorder="1" applyAlignment="1">
      <alignment horizontal="center" vertical="center"/>
    </xf>
    <xf numFmtId="0" fontId="0" fillId="10" borderId="38" xfId="0" applyFill="1" applyBorder="1" applyAlignment="1">
      <alignment horizontal="center" vertical="center"/>
    </xf>
    <xf numFmtId="0" fontId="0" fillId="11" borderId="23" xfId="0" applyFill="1" applyBorder="1" applyAlignment="1">
      <alignment horizontal="center" vertical="center"/>
    </xf>
    <xf numFmtId="0" fontId="0" fillId="10" borderId="41" xfId="0" applyFill="1" applyBorder="1" applyAlignment="1">
      <alignment horizontal="center" vertical="center"/>
    </xf>
    <xf numFmtId="0" fontId="0" fillId="3" borderId="23" xfId="0" applyFill="1" applyBorder="1" applyAlignment="1">
      <alignment horizontal="center" vertical="center"/>
    </xf>
    <xf numFmtId="0" fontId="0" fillId="5" borderId="23" xfId="0" applyFill="1" applyBorder="1" applyAlignment="1">
      <alignment horizontal="center" vertical="center"/>
    </xf>
    <xf numFmtId="0" fontId="0" fillId="5" borderId="39"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0" xfId="0" applyFill="1" applyBorder="1" applyAlignment="1">
      <alignment horizontal="center" vertical="center"/>
    </xf>
    <xf numFmtId="0" fontId="0" fillId="11" borderId="5" xfId="0" applyFill="1" applyBorder="1" applyAlignment="1">
      <alignment horizontal="center" vertical="center"/>
    </xf>
    <xf numFmtId="0" fontId="0" fillId="11" borderId="21" xfId="0" applyFill="1" applyBorder="1" applyAlignment="1">
      <alignment horizontal="center" vertical="center"/>
    </xf>
    <xf numFmtId="0" fontId="0" fillId="3" borderId="21" xfId="0" applyFill="1" applyBorder="1" applyAlignment="1">
      <alignment horizontal="center" vertical="center"/>
    </xf>
    <xf numFmtId="0" fontId="0" fillId="5" borderId="21"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36" xfId="0" applyFill="1" applyBorder="1" applyAlignment="1">
      <alignment horizontal="center" vertical="center"/>
    </xf>
    <xf numFmtId="0" fontId="0" fillId="3" borderId="5" xfId="0" applyFill="1" applyBorder="1" applyAlignment="1">
      <alignment horizontal="center" vertical="center"/>
    </xf>
    <xf numFmtId="0" fontId="0" fillId="3" borderId="39" xfId="0" applyFill="1" applyBorder="1" applyAlignment="1">
      <alignment horizontal="center" vertical="center"/>
    </xf>
    <xf numFmtId="0" fontId="0" fillId="3" borderId="6" xfId="0" applyFill="1" applyBorder="1" applyAlignment="1">
      <alignment horizontal="center" vertical="center"/>
    </xf>
    <xf numFmtId="0" fontId="0" fillId="5" borderId="36" xfId="0" applyFill="1" applyBorder="1" applyAlignment="1">
      <alignment horizontal="center" vertical="center"/>
    </xf>
    <xf numFmtId="0" fontId="0" fillId="3" borderId="37"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2" fillId="0" borderId="0" xfId="0" applyFont="1" applyAlignment="1">
      <alignment horizontal="center" vertical="center"/>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3" fillId="0" borderId="37" xfId="0" applyFont="1" applyBorder="1" applyAlignment="1">
      <alignment horizontal="center" vertical="center"/>
    </xf>
    <xf numFmtId="0" fontId="3" fillId="0" borderId="37" xfId="0" applyFont="1" applyBorder="1" applyAlignment="1">
      <alignment horizontal="center" vertical="center" wrapText="1"/>
    </xf>
    <xf numFmtId="9" fontId="3" fillId="0" borderId="37" xfId="0" applyNumberFormat="1" applyFont="1" applyBorder="1" applyAlignment="1">
      <alignment horizontal="center" vertical="center"/>
    </xf>
    <xf numFmtId="9" fontId="3" fillId="0" borderId="37" xfId="0" applyNumberFormat="1" applyFont="1" applyBorder="1" applyAlignment="1">
      <alignment horizontal="center" vertical="center" wrapText="1"/>
    </xf>
    <xf numFmtId="41" fontId="3" fillId="0" borderId="37" xfId="1" applyFont="1" applyFill="1" applyBorder="1" applyAlignment="1">
      <alignment horizontal="center" vertical="center" wrapText="1"/>
    </xf>
    <xf numFmtId="0" fontId="2" fillId="0" borderId="1" xfId="0" applyFont="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textRotation="90"/>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34" fillId="4" borderId="1" xfId="0" applyFont="1" applyFill="1" applyBorder="1" applyAlignment="1">
      <alignment horizontal="center" vertical="center" textRotation="90"/>
    </xf>
    <xf numFmtId="0" fontId="1" fillId="2" borderId="1" xfId="0" applyFont="1" applyFill="1" applyBorder="1" applyAlignment="1">
      <alignment horizontal="center" vertical="center"/>
    </xf>
    <xf numFmtId="0" fontId="2" fillId="0" borderId="1" xfId="0" applyFont="1" applyBorder="1" applyAlignment="1">
      <alignment horizontal="left"/>
    </xf>
    <xf numFmtId="0" fontId="0" fillId="0" borderId="1" xfId="0" applyBorder="1" applyAlignment="1">
      <alignment horizontal="left"/>
    </xf>
    <xf numFmtId="0" fontId="11" fillId="0" borderId="1" xfId="0" applyFont="1" applyBorder="1"/>
    <xf numFmtId="0" fontId="2" fillId="2" borderId="1" xfId="0" applyFont="1" applyFill="1" applyBorder="1"/>
    <xf numFmtId="0" fontId="0" fillId="0" borderId="1" xfId="0"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2" fillId="4" borderId="1" xfId="0" applyFont="1" applyFill="1" applyBorder="1" applyAlignment="1">
      <alignment horizontal="center" vertical="center"/>
    </xf>
    <xf numFmtId="0" fontId="2" fillId="0" borderId="1" xfId="0" applyFont="1" applyBorder="1" applyAlignment="1">
      <alignment horizontal="center" vertical="center" textRotation="90"/>
    </xf>
    <xf numFmtId="9" fontId="9" fillId="4" borderId="1" xfId="0" applyNumberFormat="1" applyFont="1" applyFill="1" applyBorder="1" applyAlignment="1">
      <alignment horizontal="center" vertical="center"/>
    </xf>
    <xf numFmtId="0" fontId="9" fillId="0" borderId="1" xfId="0" applyFont="1" applyBorder="1" applyAlignment="1">
      <alignment horizontal="center" vertical="center" textRotation="90" wrapText="1"/>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1" fillId="4" borderId="1" xfId="0" applyFont="1" applyFill="1" applyBorder="1" applyAlignment="1">
      <alignment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9" fontId="9" fillId="0" borderId="1" xfId="0" applyNumberFormat="1" applyFont="1" applyBorder="1" applyAlignment="1">
      <alignment horizontal="justify" vertical="center" wrapText="1"/>
    </xf>
    <xf numFmtId="10" fontId="9" fillId="0" borderId="1" xfId="0" applyNumberFormat="1" applyFont="1" applyBorder="1" applyAlignment="1">
      <alignment horizontal="justify" vertical="center" wrapText="1"/>
    </xf>
    <xf numFmtId="0" fontId="9" fillId="4" borderId="1" xfId="0" applyFont="1" applyFill="1" applyBorder="1" applyAlignment="1">
      <alignment horizontal="center" vertical="center"/>
    </xf>
    <xf numFmtId="0" fontId="9" fillId="0" borderId="1" xfId="0" applyFont="1" applyBorder="1" applyAlignment="1">
      <alignment horizontal="center" vertical="center" textRotation="90"/>
    </xf>
    <xf numFmtId="0" fontId="35" fillId="0" borderId="1" xfId="0" applyFont="1" applyBorder="1" applyAlignment="1">
      <alignment horizontal="justify" vertical="center" wrapText="1"/>
    </xf>
    <xf numFmtId="0" fontId="35" fillId="0" borderId="1" xfId="0" applyFont="1" applyBorder="1" applyAlignment="1">
      <alignment horizontal="justify" vertical="center"/>
    </xf>
    <xf numFmtId="0" fontId="38" fillId="0" borderId="0" xfId="0" applyFont="1"/>
    <xf numFmtId="0" fontId="39" fillId="16" borderId="42" xfId="0" applyFont="1" applyFill="1" applyBorder="1" applyAlignment="1">
      <alignment horizontal="center" vertical="center" wrapText="1"/>
    </xf>
    <xf numFmtId="0" fontId="40" fillId="0" borderId="5" xfId="0" applyFont="1" applyBorder="1" applyAlignment="1">
      <alignment horizontal="justify" vertical="center" wrapText="1"/>
    </xf>
    <xf numFmtId="0" fontId="38" fillId="0" borderId="1" xfId="0" applyFont="1" applyBorder="1"/>
    <xf numFmtId="0" fontId="38" fillId="0" borderId="1" xfId="0" applyFont="1" applyBorder="1" applyAlignment="1">
      <alignment horizontal="justify" vertical="center"/>
    </xf>
    <xf numFmtId="14" fontId="11" fillId="0" borderId="1" xfId="0" applyNumberFormat="1" applyFont="1" applyBorder="1" applyAlignment="1" applyProtection="1">
      <alignment horizontal="center" vertical="center"/>
      <protection locked="0"/>
    </xf>
    <xf numFmtId="0" fontId="1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0" fillId="0" borderId="0" xfId="0" applyAlignment="1">
      <alignment indent="1"/>
    </xf>
    <xf numFmtId="0" fontId="11" fillId="2" borderId="1" xfId="0" applyFont="1" applyFill="1" applyBorder="1" applyAlignment="1">
      <alignment vertical="center" wrapText="1" indent="1"/>
    </xf>
    <xf numFmtId="0" fontId="13" fillId="0" borderId="0" xfId="0" applyFont="1" applyAlignment="1">
      <alignment vertical="center" wrapText="1" indent="1"/>
    </xf>
    <xf numFmtId="0" fontId="13" fillId="0" borderId="1" xfId="0" applyFont="1" applyBorder="1" applyAlignment="1">
      <alignment horizontal="center" vertical="center" wrapText="1" indent="1"/>
    </xf>
    <xf numFmtId="14" fontId="13" fillId="0" borderId="1" xfId="0" applyNumberFormat="1"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3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0" xfId="0" applyFont="1" applyAlignment="1">
      <alignment horizontal="left" vertical="center"/>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9" fillId="0" borderId="1" xfId="0" applyFont="1" applyBorder="1" applyAlignment="1">
      <alignment horizontal="center" vertical="top" wrapText="1"/>
    </xf>
    <xf numFmtId="14" fontId="9" fillId="0" borderId="1" xfId="0" applyNumberFormat="1" applyFont="1" applyBorder="1" applyAlignment="1">
      <alignment horizontal="center" vertical="top" wrapText="1"/>
    </xf>
    <xf numFmtId="0" fontId="12" fillId="0" borderId="1" xfId="0" applyFont="1" applyBorder="1" applyAlignment="1">
      <alignment vertical="center" wrapText="1"/>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 fillId="4" borderId="1" xfId="0" applyFont="1" applyFill="1" applyBorder="1" applyAlignment="1">
      <alignment horizontal="center" vertical="top"/>
    </xf>
    <xf numFmtId="0" fontId="13" fillId="0" borderId="5" xfId="0" applyFont="1" applyBorder="1" applyAlignment="1">
      <alignment horizontal="center" vertical="center"/>
    </xf>
    <xf numFmtId="0" fontId="13" fillId="0" borderId="21" xfId="0" applyFont="1" applyBorder="1" applyAlignment="1">
      <alignment horizontal="center" vertical="center"/>
    </xf>
    <xf numFmtId="0" fontId="13" fillId="0" borderId="6" xfId="0" applyFont="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30" fillId="2" borderId="1" xfId="3" applyFill="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6" xfId="0" applyFont="1" applyBorder="1" applyAlignment="1">
      <alignment horizontal="center" vertical="center" wrapText="1"/>
    </xf>
    <xf numFmtId="14" fontId="1" fillId="0" borderId="13" xfId="0" applyNumberFormat="1" applyFont="1" applyBorder="1" applyAlignment="1">
      <alignment horizontal="center" vertical="center"/>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7" fillId="0" borderId="0" xfId="0" applyFont="1" applyAlignment="1">
      <alignment horizontal="center"/>
    </xf>
    <xf numFmtId="14" fontId="40" fillId="0" borderId="5" xfId="0" applyNumberFormat="1" applyFont="1" applyBorder="1" applyAlignment="1">
      <alignment horizontal="center" vertical="center" wrapText="1"/>
    </xf>
    <xf numFmtId="14" fontId="40" fillId="0" borderId="21" xfId="0" applyNumberFormat="1" applyFont="1" applyBorder="1" applyAlignment="1">
      <alignment horizontal="center" vertical="center" wrapText="1"/>
    </xf>
    <xf numFmtId="14" fontId="40" fillId="0" borderId="6" xfId="0" applyNumberFormat="1" applyFont="1" applyBorder="1" applyAlignment="1">
      <alignment horizontal="center" vertical="center" wrapText="1"/>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36" fillId="0" borderId="5"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6" xfId="0" applyFont="1" applyBorder="1" applyAlignment="1">
      <alignment horizontal="center" vertical="center" wrapText="1"/>
    </xf>
    <xf numFmtId="0" fontId="13" fillId="0" borderId="1"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 fillId="0" borderId="5" xfId="0" applyFont="1" applyBorder="1" applyAlignment="1">
      <alignment horizontal="center" vertical="center" textRotation="90"/>
    </xf>
    <xf numFmtId="0" fontId="1" fillId="0" borderId="6" xfId="0" applyFont="1" applyBorder="1" applyAlignment="1">
      <alignment horizontal="center" vertical="center" textRotation="90"/>
    </xf>
    <xf numFmtId="0" fontId="15" fillId="0" borderId="0" xfId="0" applyFont="1" applyAlignment="1">
      <alignment horizontal="center" vertical="center"/>
    </xf>
    <xf numFmtId="0" fontId="16" fillId="7" borderId="0" xfId="0" applyFont="1" applyFill="1" applyAlignment="1">
      <alignment horizontal="left" vertical="center"/>
    </xf>
    <xf numFmtId="0" fontId="16" fillId="8" borderId="23" xfId="0" applyFont="1" applyFill="1" applyBorder="1" applyAlignment="1">
      <alignment horizontal="center" vertical="center"/>
    </xf>
    <xf numFmtId="0" fontId="16" fillId="8" borderId="0" xfId="0" applyFont="1" applyFill="1" applyAlignment="1">
      <alignment horizontal="center" vertical="center"/>
    </xf>
    <xf numFmtId="0" fontId="18" fillId="7" borderId="23" xfId="0" applyFont="1" applyFill="1" applyBorder="1" applyAlignment="1">
      <alignment horizontal="left" vertical="center"/>
    </xf>
    <xf numFmtId="0" fontId="18" fillId="7" borderId="0" xfId="0" applyFont="1" applyFill="1" applyAlignment="1">
      <alignment horizontal="left" vertical="center"/>
    </xf>
    <xf numFmtId="0" fontId="19" fillId="0" borderId="24" xfId="0" applyFont="1" applyBorder="1" applyAlignment="1" applyProtection="1">
      <alignment horizontal="center" vertical="center" wrapText="1"/>
      <protection hidden="1"/>
    </xf>
    <xf numFmtId="0" fontId="19" fillId="0" borderId="25" xfId="0" applyFont="1" applyBorder="1" applyAlignment="1" applyProtection="1">
      <alignment horizontal="center" vertical="center" wrapText="1"/>
      <protection hidden="1"/>
    </xf>
    <xf numFmtId="0" fontId="19" fillId="0" borderId="26" xfId="0" applyFont="1" applyBorder="1" applyAlignment="1" applyProtection="1">
      <alignment horizontal="center" vertical="center" wrapText="1"/>
      <protection hidden="1"/>
    </xf>
    <xf numFmtId="0" fontId="19" fillId="0" borderId="25" xfId="0" applyFont="1" applyBorder="1" applyAlignment="1" applyProtection="1">
      <alignment horizontal="center" vertical="center"/>
      <protection hidden="1"/>
    </xf>
    <xf numFmtId="0" fontId="19" fillId="0" borderId="26" xfId="0" applyFont="1" applyBorder="1" applyAlignment="1" applyProtection="1">
      <alignment horizontal="center" vertical="center"/>
      <protection hidden="1"/>
    </xf>
    <xf numFmtId="0" fontId="16" fillId="9" borderId="22" xfId="0" applyFont="1" applyFill="1" applyBorder="1" applyAlignment="1">
      <alignment horizontal="center" vertical="center"/>
    </xf>
    <xf numFmtId="0" fontId="16" fillId="9" borderId="27" xfId="0" applyFont="1" applyFill="1" applyBorder="1" applyAlignment="1">
      <alignment horizontal="center" vertical="center"/>
    </xf>
    <xf numFmtId="0" fontId="16" fillId="9" borderId="28" xfId="0" applyFont="1" applyFill="1" applyBorder="1" applyAlignment="1">
      <alignment horizontal="center" vertical="center"/>
    </xf>
    <xf numFmtId="0" fontId="16" fillId="9" borderId="8" xfId="0" applyFont="1" applyFill="1" applyBorder="1" applyAlignment="1">
      <alignment horizontal="center" vertical="center"/>
    </xf>
    <xf numFmtId="0" fontId="16" fillId="9" borderId="12"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29" xfId="0" applyFont="1" applyBorder="1" applyAlignment="1">
      <alignment horizontal="left" vertical="center"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29" xfId="0" applyFont="1" applyBorder="1" applyAlignment="1">
      <alignment horizontal="left" vertical="top" wrapText="1"/>
    </xf>
    <xf numFmtId="0" fontId="26" fillId="12" borderId="1" xfId="0" applyFont="1" applyFill="1" applyBorder="1" applyAlignment="1">
      <alignment horizontal="center" vertical="center"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32" xfId="0" applyFont="1" applyBorder="1" applyAlignment="1">
      <alignment horizontal="left" vertical="top" wrapText="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cellXfs>
  <cellStyles count="4">
    <cellStyle name="Hipervínculo" xfId="3" builtinId="8"/>
    <cellStyle name="Millares [0]" xfId="1" builtinId="6"/>
    <cellStyle name="Normal" xfId="0" builtinId="0"/>
    <cellStyle name="Porcentaje" xfId="2" builtinId="5"/>
  </cellStyles>
  <dxfs count="81">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970721F9-1323-0F42-9697-2DA51708F4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430F3834-5193-5E49-BFF9-CB52ADEA33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6FF0657B-D997-7D41-84A2-3B6FDB34F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63417E85-7C03-C640-9C49-1C0F342EB3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297A9-B460-4141-AF2E-165D5BDC5AA0}">
  <sheetPr>
    <tabColor rgb="FF00B050"/>
  </sheetPr>
  <dimension ref="A1:B14"/>
  <sheetViews>
    <sheetView topLeftCell="A4" workbookViewId="0">
      <selection activeCell="B13" sqref="B13"/>
    </sheetView>
  </sheetViews>
  <sheetFormatPr defaultColWidth="11.42578125" defaultRowHeight="14.45"/>
  <cols>
    <col min="1" max="1" width="29.5703125" customWidth="1"/>
    <col min="2" max="2" width="57.28515625" customWidth="1"/>
  </cols>
  <sheetData>
    <row r="1" spans="1:2" ht="21">
      <c r="A1" s="229" t="s">
        <v>0</v>
      </c>
      <c r="B1" s="229"/>
    </row>
    <row r="2" spans="1:2">
      <c r="A2" s="160"/>
      <c r="B2" s="160"/>
    </row>
    <row r="3" spans="1:2">
      <c r="A3" s="160" t="s">
        <v>1</v>
      </c>
      <c r="B3" s="160"/>
    </row>
    <row r="4" spans="1:2">
      <c r="A4" s="160"/>
      <c r="B4" s="160"/>
    </row>
    <row r="5" spans="1:2">
      <c r="A5" s="161" t="s">
        <v>2</v>
      </c>
      <c r="B5" s="161" t="s">
        <v>3</v>
      </c>
    </row>
    <row r="6" spans="1:2" ht="28.9">
      <c r="A6" s="230">
        <v>46058</v>
      </c>
      <c r="B6" s="162" t="s">
        <v>4</v>
      </c>
    </row>
    <row r="7" spans="1:2" ht="28.9">
      <c r="A7" s="231"/>
      <c r="B7" s="162" t="s">
        <v>5</v>
      </c>
    </row>
    <row r="8" spans="1:2" ht="86.45">
      <c r="A8" s="232"/>
      <c r="B8" s="162" t="s">
        <v>6</v>
      </c>
    </row>
    <row r="9" spans="1:2">
      <c r="A9" s="163"/>
      <c r="B9" s="164"/>
    </row>
    <row r="10" spans="1:2">
      <c r="A10" s="163"/>
      <c r="B10" s="164"/>
    </row>
    <row r="11" spans="1:2">
      <c r="A11" s="163"/>
      <c r="B11" s="164"/>
    </row>
    <row r="12" spans="1:2">
      <c r="A12" s="163"/>
      <c r="B12" s="164"/>
    </row>
    <row r="13" spans="1:2">
      <c r="A13" s="160"/>
      <c r="B13" s="160"/>
    </row>
    <row r="14" spans="1:2">
      <c r="A14" s="160" t="s">
        <v>7</v>
      </c>
      <c r="B14" s="160"/>
    </row>
  </sheetData>
  <mergeCells count="2">
    <mergeCell ref="A1:B1"/>
    <mergeCell ref="A6:A8"/>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33"/>
  <sheetViews>
    <sheetView showGridLines="0" tabSelected="1" topLeftCell="AW16" zoomScale="72" zoomScaleNormal="72" workbookViewId="0">
      <selection activeCell="AZ17" sqref="AZ17"/>
    </sheetView>
  </sheetViews>
  <sheetFormatPr defaultColWidth="11.42578125" defaultRowHeight="15.75" customHeight="1"/>
  <cols>
    <col min="2" max="2" width="27.140625" customWidth="1"/>
    <col min="3" max="3" width="26" customWidth="1"/>
    <col min="4" max="4" width="28.42578125" customWidth="1"/>
    <col min="5" max="5" width="25.42578125" customWidth="1"/>
    <col min="6" max="6" width="25.42578125" hidden="1" customWidth="1"/>
    <col min="7" max="8" width="20" customWidth="1"/>
    <col min="9" max="9" width="9.42578125" customWidth="1"/>
    <col min="10" max="10" width="25.42578125" customWidth="1"/>
    <col min="11" max="11" width="32.85546875" customWidth="1"/>
    <col min="12" max="12" width="20"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1" width="7.7109375" style="4" customWidth="1"/>
    <col min="42" max="42" width="33.42578125" style="4" customWidth="1"/>
    <col min="43" max="43" width="26.5703125" style="1" customWidth="1"/>
    <col min="44" max="44" width="20.85546875" style="1" customWidth="1"/>
    <col min="45" max="45" width="1" customWidth="1"/>
    <col min="46" max="46" width="18.28515625" customWidth="1"/>
    <col min="47" max="47" width="45" customWidth="1"/>
    <col min="48" max="48" width="51.42578125" customWidth="1"/>
    <col min="49" max="49" width="28.42578125" customWidth="1"/>
    <col min="50" max="50" width="29.28515625" customWidth="1"/>
    <col min="51" max="51" width="1" customWidth="1"/>
    <col min="52" max="52" width="45" style="169" customWidth="1"/>
    <col min="53" max="53" width="55.28515625" customWidth="1"/>
  </cols>
  <sheetData>
    <row r="1" spans="1:53" ht="15.75" customHeight="1">
      <c r="A1" s="206"/>
      <c r="B1" s="207"/>
      <c r="C1" s="223" t="s">
        <v>8</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5"/>
      <c r="AX1" s="206" t="s">
        <v>9</v>
      </c>
      <c r="AY1" s="207"/>
      <c r="AZ1" s="202" t="s">
        <v>10</v>
      </c>
      <c r="BA1" s="203"/>
    </row>
    <row r="2" spans="1:53" ht="15.75" customHeight="1">
      <c r="A2" s="221"/>
      <c r="B2" s="222"/>
      <c r="C2" s="214"/>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6"/>
      <c r="AX2" s="208"/>
      <c r="AY2" s="209"/>
      <c r="AZ2" s="204"/>
      <c r="BA2" s="205"/>
    </row>
    <row r="3" spans="1:53" ht="15.75" customHeight="1">
      <c r="A3" s="221"/>
      <c r="B3" s="222"/>
      <c r="C3" s="214"/>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6"/>
      <c r="AX3" s="206" t="s">
        <v>11</v>
      </c>
      <c r="AY3" s="207"/>
      <c r="AZ3" s="210" t="s">
        <v>12</v>
      </c>
      <c r="BA3" s="211"/>
    </row>
    <row r="4" spans="1:53" ht="16.5" customHeight="1">
      <c r="A4" s="221"/>
      <c r="B4" s="222"/>
      <c r="C4" s="217"/>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9"/>
      <c r="AX4" s="208"/>
      <c r="AY4" s="209"/>
      <c r="AZ4" s="212"/>
      <c r="BA4" s="213"/>
    </row>
    <row r="5" spans="1:53" ht="20.45" customHeight="1">
      <c r="A5" s="221"/>
      <c r="B5" s="222"/>
      <c r="C5" s="214" t="s">
        <v>13</v>
      </c>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6"/>
      <c r="AX5" s="206" t="s">
        <v>14</v>
      </c>
      <c r="AY5" s="207"/>
      <c r="AZ5" s="206" t="s">
        <v>15</v>
      </c>
      <c r="BA5" s="207"/>
    </row>
    <row r="6" spans="1:53" ht="15" customHeight="1">
      <c r="A6" s="221"/>
      <c r="B6" s="222"/>
      <c r="C6" s="214"/>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6"/>
      <c r="AX6" s="208"/>
      <c r="AY6" s="209"/>
      <c r="AZ6" s="208"/>
      <c r="BA6" s="209"/>
    </row>
    <row r="7" spans="1:53" ht="15.75" customHeight="1">
      <c r="A7" s="221"/>
      <c r="B7" s="222"/>
      <c r="C7" s="214"/>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6"/>
      <c r="AX7" s="206" t="s">
        <v>16</v>
      </c>
      <c r="AY7" s="207"/>
      <c r="AZ7" s="220">
        <v>45828</v>
      </c>
      <c r="BA7" s="203"/>
    </row>
    <row r="8" spans="1:53" ht="16.5" customHeight="1">
      <c r="A8" s="208"/>
      <c r="B8" s="209"/>
      <c r="C8" s="217"/>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9"/>
      <c r="AX8" s="208"/>
      <c r="AY8" s="209"/>
      <c r="AZ8" s="204"/>
      <c r="BA8" s="205"/>
    </row>
    <row r="10" spans="1:53" ht="54" customHeight="1">
      <c r="A10" s="195" t="s">
        <v>17</v>
      </c>
      <c r="B10" s="195"/>
      <c r="C10" s="195"/>
      <c r="D10" s="226" t="s">
        <v>18</v>
      </c>
      <c r="E10" s="227"/>
      <c r="F10" s="227"/>
      <c r="G10" s="227"/>
      <c r="H10" s="227"/>
      <c r="I10" s="227"/>
      <c r="J10" s="227"/>
      <c r="K10" s="227"/>
      <c r="L10" s="227"/>
      <c r="M10" s="228"/>
      <c r="N10" s="12"/>
      <c r="AN10" s="1"/>
      <c r="AO10" s="1"/>
      <c r="AP10" s="1"/>
    </row>
    <row r="11" spans="1:53" s="3" customFormat="1" ht="75" customHeight="1">
      <c r="A11" s="195" t="s">
        <v>19</v>
      </c>
      <c r="B11" s="195"/>
      <c r="C11" s="195"/>
      <c r="D11" s="198" t="s">
        <v>20</v>
      </c>
      <c r="E11" s="199"/>
      <c r="F11" s="199"/>
      <c r="G11" s="199"/>
      <c r="H11" s="199"/>
      <c r="I11" s="199"/>
      <c r="J11" s="199"/>
      <c r="K11" s="199"/>
      <c r="L11" s="199"/>
      <c r="M11" s="200"/>
      <c r="N11" s="1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Z11" s="169"/>
    </row>
    <row r="12" spans="1:53" s="3" customFormat="1" ht="75" customHeight="1">
      <c r="A12" s="195" t="s">
        <v>21</v>
      </c>
      <c r="B12" s="195"/>
      <c r="C12" s="195"/>
      <c r="D12" s="198" t="s">
        <v>22</v>
      </c>
      <c r="E12" s="199"/>
      <c r="F12" s="199"/>
      <c r="G12" s="199"/>
      <c r="H12" s="199"/>
      <c r="I12" s="199"/>
      <c r="J12" s="199"/>
      <c r="K12" s="199"/>
      <c r="L12" s="199"/>
      <c r="M12" s="200"/>
      <c r="N12" s="1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Z12" s="169"/>
    </row>
    <row r="13" spans="1:53" s="3" customFormat="1" ht="24.75" customHeight="1">
      <c r="A13" s="6"/>
      <c r="B13" s="6"/>
      <c r="C13" s="6"/>
      <c r="D13" s="6"/>
      <c r="E13" s="6"/>
      <c r="F13" s="6"/>
      <c r="G13" s="6"/>
      <c r="H13" s="6"/>
      <c r="I13" s="6"/>
      <c r="J13" s="6"/>
      <c r="K13" s="6"/>
      <c r="L13" s="6"/>
      <c r="M13" s="6"/>
      <c r="N13" s="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Z13" s="169"/>
    </row>
    <row r="14" spans="1:53" s="3" customFormat="1" ht="24.75" customHeight="1">
      <c r="A14" s="201" t="s">
        <v>23</v>
      </c>
      <c r="B14" s="201"/>
      <c r="C14" s="201"/>
      <c r="D14" s="201"/>
      <c r="E14" s="201"/>
      <c r="F14" s="201"/>
      <c r="G14" s="201"/>
      <c r="H14" s="201"/>
      <c r="I14" s="201"/>
      <c r="J14" s="201"/>
      <c r="K14" s="201"/>
      <c r="L14" s="201"/>
      <c r="M14" s="201"/>
      <c r="N14" s="201"/>
      <c r="O14" s="201"/>
      <c r="P14" s="121"/>
      <c r="Q14" s="196" t="s">
        <v>24</v>
      </c>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21"/>
      <c r="AP14" s="195" t="s">
        <v>25</v>
      </c>
      <c r="AQ14" s="195"/>
      <c r="AR14" s="195"/>
      <c r="AS14" s="122"/>
      <c r="AT14" s="195" t="s">
        <v>26</v>
      </c>
      <c r="AU14" s="195"/>
      <c r="AV14" s="195"/>
      <c r="AW14" s="195"/>
      <c r="AX14" s="195"/>
      <c r="AY14" s="123"/>
      <c r="AZ14" s="195" t="s">
        <v>27</v>
      </c>
      <c r="BA14" s="195"/>
    </row>
    <row r="15" spans="1:53" ht="15.6">
      <c r="A15" s="201"/>
      <c r="B15" s="201"/>
      <c r="C15" s="201"/>
      <c r="D15" s="201"/>
      <c r="E15" s="201"/>
      <c r="F15" s="201"/>
      <c r="G15" s="201"/>
      <c r="H15" s="201"/>
      <c r="I15" s="201"/>
      <c r="J15" s="201"/>
      <c r="K15" s="201"/>
      <c r="L15" s="201"/>
      <c r="M15" s="201"/>
      <c r="N15" s="201"/>
      <c r="O15" s="201"/>
      <c r="P15" s="121"/>
      <c r="Q15" s="124"/>
      <c r="R15" s="124"/>
      <c r="S15" s="124"/>
      <c r="T15" s="124"/>
      <c r="U15" s="124"/>
      <c r="V15" s="124"/>
      <c r="W15" s="124"/>
      <c r="X15" s="124"/>
      <c r="Y15" s="196" t="s">
        <v>28</v>
      </c>
      <c r="Z15" s="196"/>
      <c r="AA15" s="196"/>
      <c r="AB15" s="196" t="s">
        <v>29</v>
      </c>
      <c r="AC15" s="196"/>
      <c r="AD15" s="196"/>
      <c r="AE15" s="196"/>
      <c r="AF15" s="196"/>
      <c r="AG15" s="197"/>
      <c r="AH15" s="197"/>
      <c r="AI15" s="197"/>
      <c r="AJ15" s="197"/>
      <c r="AK15" s="197"/>
      <c r="AL15" s="197"/>
      <c r="AM15" s="197"/>
      <c r="AN15" s="197"/>
      <c r="AO15" s="121"/>
      <c r="AP15" s="195"/>
      <c r="AQ15" s="195"/>
      <c r="AR15" s="195"/>
      <c r="AS15" s="125"/>
      <c r="AT15" s="195"/>
      <c r="AU15" s="195"/>
      <c r="AV15" s="195"/>
      <c r="AW15" s="195"/>
      <c r="AX15" s="195"/>
      <c r="AY15" s="123"/>
      <c r="AZ15" s="195"/>
      <c r="BA15" s="195"/>
    </row>
    <row r="16" spans="1:53" s="5" customFormat="1" ht="166.5" customHeight="1">
      <c r="A16" s="126" t="s">
        <v>30</v>
      </c>
      <c r="B16" s="127" t="s">
        <v>31</v>
      </c>
      <c r="C16" s="128" t="s">
        <v>32</v>
      </c>
      <c r="D16" s="128" t="s">
        <v>33</v>
      </c>
      <c r="E16" s="129" t="s">
        <v>34</v>
      </c>
      <c r="F16" s="130" t="s">
        <v>35</v>
      </c>
      <c r="G16" s="131" t="s">
        <v>36</v>
      </c>
      <c r="H16" s="129" t="s">
        <v>37</v>
      </c>
      <c r="I16" s="128" t="s">
        <v>38</v>
      </c>
      <c r="J16" s="128" t="s">
        <v>39</v>
      </c>
      <c r="K16" s="129" t="s">
        <v>40</v>
      </c>
      <c r="L16" s="129" t="s">
        <v>41</v>
      </c>
      <c r="M16" s="128" t="s">
        <v>38</v>
      </c>
      <c r="N16" s="128" t="s">
        <v>42</v>
      </c>
      <c r="O16" s="132" t="s">
        <v>43</v>
      </c>
      <c r="P16" s="121"/>
      <c r="Q16" s="133" t="s">
        <v>44</v>
      </c>
      <c r="R16" s="83" t="s">
        <v>45</v>
      </c>
      <c r="S16" s="83" t="s">
        <v>46</v>
      </c>
      <c r="T16" s="83" t="s">
        <v>47</v>
      </c>
      <c r="U16" s="83" t="s">
        <v>48</v>
      </c>
      <c r="V16" s="83" t="s">
        <v>49</v>
      </c>
      <c r="W16" s="83" t="s">
        <v>50</v>
      </c>
      <c r="X16" s="120" t="s">
        <v>51</v>
      </c>
      <c r="Y16" s="133" t="s">
        <v>52</v>
      </c>
      <c r="Z16" s="133" t="s">
        <v>53</v>
      </c>
      <c r="AA16" s="133" t="s">
        <v>54</v>
      </c>
      <c r="AB16" s="190" t="s">
        <v>55</v>
      </c>
      <c r="AC16" s="191"/>
      <c r="AD16" s="133" t="s">
        <v>56</v>
      </c>
      <c r="AE16" s="190" t="s">
        <v>57</v>
      </c>
      <c r="AF16" s="191"/>
      <c r="AG16" s="132" t="s">
        <v>58</v>
      </c>
      <c r="AH16" s="132" t="s">
        <v>59</v>
      </c>
      <c r="AI16" s="132" t="s">
        <v>38</v>
      </c>
      <c r="AJ16" s="132" t="s">
        <v>60</v>
      </c>
      <c r="AK16" s="132" t="s">
        <v>38</v>
      </c>
      <c r="AL16" s="132" t="s">
        <v>42</v>
      </c>
      <c r="AM16" s="132" t="s">
        <v>61</v>
      </c>
      <c r="AN16" s="132" t="s">
        <v>62</v>
      </c>
      <c r="AO16" s="121"/>
      <c r="AP16" s="134" t="s">
        <v>63</v>
      </c>
      <c r="AQ16" s="134" t="s">
        <v>64</v>
      </c>
      <c r="AR16" s="83" t="s">
        <v>65</v>
      </c>
      <c r="AS16" s="135"/>
      <c r="AT16" s="136" t="s">
        <v>66</v>
      </c>
      <c r="AU16" s="136" t="s">
        <v>67</v>
      </c>
      <c r="AV16" s="136" t="s">
        <v>68</v>
      </c>
      <c r="AW16" s="136" t="s">
        <v>69</v>
      </c>
      <c r="AX16" s="136" t="s">
        <v>70</v>
      </c>
      <c r="AY16" s="137"/>
      <c r="AZ16" s="170" t="s">
        <v>71</v>
      </c>
      <c r="BA16" s="136" t="s">
        <v>72</v>
      </c>
    </row>
    <row r="17" spans="1:53" ht="267.95" customHeight="1">
      <c r="A17" s="192">
        <v>1</v>
      </c>
      <c r="B17" s="193" t="s">
        <v>73</v>
      </c>
      <c r="C17" s="194" t="s">
        <v>74</v>
      </c>
      <c r="D17" s="194" t="s">
        <v>75</v>
      </c>
      <c r="E17" s="194" t="s">
        <v>76</v>
      </c>
      <c r="F17" s="194"/>
      <c r="G17" s="192">
        <v>1059</v>
      </c>
      <c r="H17" s="186" t="str">
        <f>IF(G17&lt;=0,"",IF(G17&lt;=2,"Muy Baja",IF(G17&lt;=24,"Baja",IF(G17&lt;=500,"Media",IF(G17&lt;=5000,"Alta","Muy Alta")))))</f>
        <v>Alta</v>
      </c>
      <c r="I17" s="183">
        <f>IF(H17="","",IF(H17="Muy Baja",0.2,IF(H17="Baja",0.4,IF(H17="Media",0.6,IF(H17="Alta",0.8,IF(H17="Muy Alta",1,))))))</f>
        <v>0.8</v>
      </c>
      <c r="J17" s="184" t="s">
        <v>77</v>
      </c>
      <c r="K17" s="185" t="str">
        <f>+J17</f>
        <v xml:space="preserve">Afectación mayor a 3000 SMLMV </v>
      </c>
      <c r="L17" s="186" t="str">
        <f>+VLOOKUP(K17,Datos!$O$4:$P$15,2,FALSE)</f>
        <v>Catastrófico</v>
      </c>
      <c r="M17" s="183">
        <f>IF(L17="","",IF(L17="Leve",0.2,IF(L17="Menor",0.4,IF(L17="Moderado",0.6,IF(L17="Mayor",0.8,IF(L17="Catastrófico",1,))))))</f>
        <v>1</v>
      </c>
      <c r="N17" s="183" t="str">
        <f>+CONCATENATE(H17, " - ", L17)</f>
        <v>Alta - Catastrófico</v>
      </c>
      <c r="O17" s="178" t="str">
        <f>+VLOOKUP(N17,Datos!J4:K28,2,)</f>
        <v>EXTREMO</v>
      </c>
      <c r="P17" s="121"/>
      <c r="Q17" s="152">
        <v>1</v>
      </c>
      <c r="R17" s="153" t="s">
        <v>78</v>
      </c>
      <c r="S17" s="153" t="s">
        <v>79</v>
      </c>
      <c r="T17" s="153" t="s">
        <v>80</v>
      </c>
      <c r="U17" s="153" t="s">
        <v>81</v>
      </c>
      <c r="V17" s="153" t="s">
        <v>82</v>
      </c>
      <c r="W17" s="153" t="s">
        <v>83</v>
      </c>
      <c r="X17" s="138" t="str">
        <f>IF(OR(Y17="Preventivo",Y17="Detectivo"),"Probabilidad",IF(Y17="Correctivo","Impacto",""))</f>
        <v>Probabilidad</v>
      </c>
      <c r="Y17" s="139" t="s">
        <v>84</v>
      </c>
      <c r="Z17" s="139" t="s">
        <v>85</v>
      </c>
      <c r="AA17" s="140" t="str">
        <f t="shared" ref="AA17" si="0">IF(AND(Y17="Preventivo",Z17="Automático"),"50%",IF(AND(Y17="Preventivo",Z17="Manual"),"40%",IF(AND(Y17="Detectivo",Z17="Automático"),"40%",IF(AND(Y17="Detectivo",Z17="Manual"),"30%",IF(AND(Y17="Correctivo",Z17="Automático"),"35%",IF(AND(Y17="Correctivo",Z17="Manual"),"25%",""))))))</f>
        <v>30%</v>
      </c>
      <c r="AB17" s="7" t="s">
        <v>86</v>
      </c>
      <c r="AC17" s="141" t="s">
        <v>87</v>
      </c>
      <c r="AD17" s="139" t="s">
        <v>88</v>
      </c>
      <c r="AE17" s="7" t="s">
        <v>89</v>
      </c>
      <c r="AF17" s="7" t="str">
        <f>+W17</f>
        <v xml:space="preserve">Consolidado Integral de Generación de Residuos A-GAM-FT-005
Correos electrónicos ( Cuando aplique) </v>
      </c>
      <c r="AG17" s="142">
        <f>IFERROR(IF(X17="Probabilidad",(I17-(+I17*AA17)),IF(X17="Impacto",I17,"")),"")</f>
        <v>0.56000000000000005</v>
      </c>
      <c r="AH17" s="143" t="str">
        <f t="shared" ref="AH17" si="1">IFERROR(IF(AG17="","",IF(AG17&lt;=0.2,"Muy Baja",IF(AG17&lt;=0.4,"Baja",IF(AG17&lt;=0.6,"Media",IF(AG17&lt;=0.8,"Alta","Muy Alta"))))),"")</f>
        <v>Media</v>
      </c>
      <c r="AI17" s="15">
        <f>I17-(AA17*I17)</f>
        <v>0.56000000000000005</v>
      </c>
      <c r="AJ17" s="144" t="str">
        <f t="shared" ref="AJ17" si="2">IFERROR(IF(AK17="","",IF(AK17&lt;=0.2,"Leve",IF(AK17&lt;=0.4,"Menor",IF(AK17&lt;=0.6,"Moderado",IF(AK17&lt;=0.8,"Mayor","Catastrófico"))))),"")</f>
        <v>Catastrófico</v>
      </c>
      <c r="AK17" s="142">
        <f>IFERROR(IF(X17="Impacto",(M17-(+M17*AA17)),IF(X17="Probabilidad",M17,"")),"")</f>
        <v>1</v>
      </c>
      <c r="AL17" s="145" t="str">
        <f>+CONCATENATE(AH17, " - ", AJ17)</f>
        <v>Media - Catastrófico</v>
      </c>
      <c r="AM17" s="146" t="str">
        <f>+VLOOKUP(AL17,Datos!$J$4:$K$28,2,)</f>
        <v>EXTREMO</v>
      </c>
      <c r="AN17" s="179" t="s">
        <v>90</v>
      </c>
      <c r="AO17" s="121"/>
      <c r="AP17" s="233" t="s">
        <v>91</v>
      </c>
      <c r="AQ17" s="234" t="s">
        <v>92</v>
      </c>
      <c r="AR17" s="235">
        <v>46264</v>
      </c>
      <c r="AS17" s="125"/>
      <c r="AT17" s="165">
        <v>46156</v>
      </c>
      <c r="AU17" s="166" t="s">
        <v>93</v>
      </c>
      <c r="AV17" s="236" t="s">
        <v>94</v>
      </c>
      <c r="AW17" s="176" t="s">
        <v>95</v>
      </c>
      <c r="AX17" s="174" t="s">
        <v>95</v>
      </c>
      <c r="AY17" s="137"/>
      <c r="AZ17" s="172" t="s">
        <v>96</v>
      </c>
      <c r="BA17" s="175" t="s">
        <v>97</v>
      </c>
    </row>
    <row r="18" spans="1:53" ht="219" customHeight="1">
      <c r="A18" s="192"/>
      <c r="B18" s="193"/>
      <c r="C18" s="194"/>
      <c r="D18" s="194"/>
      <c r="E18" s="194"/>
      <c r="F18" s="194"/>
      <c r="G18" s="192"/>
      <c r="H18" s="186"/>
      <c r="I18" s="183"/>
      <c r="J18" s="184"/>
      <c r="K18" s="185"/>
      <c r="L18" s="186"/>
      <c r="M18" s="183"/>
      <c r="N18" s="183"/>
      <c r="O18" s="178"/>
      <c r="P18" s="121"/>
      <c r="Q18" s="105">
        <v>2</v>
      </c>
      <c r="R18" s="153" t="s">
        <v>98</v>
      </c>
      <c r="S18" s="153" t="s">
        <v>99</v>
      </c>
      <c r="T18" s="153" t="s">
        <v>100</v>
      </c>
      <c r="U18" s="153" t="s">
        <v>101</v>
      </c>
      <c r="V18" s="153" t="s">
        <v>102</v>
      </c>
      <c r="W18" s="153" t="s">
        <v>103</v>
      </c>
      <c r="X18" s="138" t="str">
        <f t="shared" ref="X18:X23" si="3">IF(OR(Y18="Preventivo",Y18="Detectivo"),"Probabilidad",IF(Y18="Correctivo","Impacto",""))</f>
        <v>Probabilidad</v>
      </c>
      <c r="Y18" s="139" t="s">
        <v>104</v>
      </c>
      <c r="Z18" s="139" t="s">
        <v>85</v>
      </c>
      <c r="AA18" s="140" t="str">
        <f t="shared" ref="AA18" si="4">IF(AND(Y18="Preventivo",Z18="Automático"),"50%",IF(AND(Y18="Preventivo",Z18="Manual"),"40%",IF(AND(Y18="Detectivo",Z18="Automático"),"40%",IF(AND(Y18="Detectivo",Z18="Manual"),"30%",IF(AND(Y18="Correctivo",Z18="Automático"),"35%",IF(AND(Y18="Correctivo",Z18="Manual"),"25%",""))))))</f>
        <v>40%</v>
      </c>
      <c r="AB18" s="7" t="s">
        <v>86</v>
      </c>
      <c r="AC18" s="141" t="s">
        <v>105</v>
      </c>
      <c r="AD18" s="139" t="s">
        <v>88</v>
      </c>
      <c r="AE18" s="7" t="s">
        <v>89</v>
      </c>
      <c r="AF18" s="7" t="str">
        <f t="shared" ref="AF18:AF23" si="5">+W18</f>
        <v>Contratos firmados / Actas de modificación de adición y prórroga de los contratos
Plan anual de adquisiciones, requerimiento técnico y anexo técnico y la radicación del proceso contractual ante la Gerencia de Contratación.( Cuando aplique)</v>
      </c>
      <c r="AG18" s="15">
        <f>IFERROR(IF(AND(X17="Probabilidad",X18="Probabilidad"),(AI17-(+AI17*AA18)),IF(X18="Probabilidad",($I$17-(+$I$17*AA18)),IF(X18="Impacto",AI17,""))),"")</f>
        <v>0.33600000000000002</v>
      </c>
      <c r="AH18" s="143" t="str">
        <f t="shared" ref="AH18" si="6">IFERROR(IF(AG18="","",IF(AG18&lt;=0.2,"Muy Baja",IF(AG18&lt;=0.4,"Baja",IF(AG18&lt;=0.6,"Media",IF(AG18&lt;=0.8,"Alta","Muy Alta"))))),"")</f>
        <v>Baja</v>
      </c>
      <c r="AI18" s="15">
        <f t="shared" ref="AI18" si="7">+AG18</f>
        <v>0.33600000000000002</v>
      </c>
      <c r="AJ18" s="144" t="str">
        <f t="shared" ref="AJ18" si="8">IFERROR(IF(AK18="","",IF(AK18&lt;=0.2,"Leve",IF(AK18&lt;=0.4,"Menor",IF(AK18&lt;=0.6,"Moderado",IF(AK18&lt;=0.8,"Mayor","Catastrófico"))))),"")</f>
        <v>Catastrófico</v>
      </c>
      <c r="AK18" s="142">
        <f t="shared" ref="AK18" si="9">IFERROR(IF(AND(X17="Impacto",X17="Impacto"),(AK17-(+AK17*AA18)),IF(X18="Impacto",($M$17-(+$M$17*AA18)),IF(X18="Probabilidad",AK17,""))),"")</f>
        <v>1</v>
      </c>
      <c r="AL18" s="145" t="str">
        <f t="shared" ref="AL18" si="10">+CONCATENATE(AH18, " - ", AJ18)</f>
        <v>Baja - Catastrófico</v>
      </c>
      <c r="AM18" s="146" t="str">
        <f>+VLOOKUP(AL18,Datos!$J$4:$K$28,2,)</f>
        <v>EXTREMO</v>
      </c>
      <c r="AN18" s="179"/>
      <c r="AO18" s="121"/>
      <c r="AP18" s="233"/>
      <c r="AQ18" s="234"/>
      <c r="AR18" s="235"/>
      <c r="AS18" s="125"/>
      <c r="AT18" s="165">
        <v>46156</v>
      </c>
      <c r="AU18" s="166" t="s">
        <v>106</v>
      </c>
      <c r="AV18" s="237"/>
      <c r="AW18" s="239"/>
      <c r="AX18" s="174"/>
      <c r="AY18" s="137"/>
      <c r="AZ18" s="172" t="s">
        <v>107</v>
      </c>
      <c r="BA18" s="176"/>
    </row>
    <row r="19" spans="1:53" ht="231.95" customHeight="1">
      <c r="A19" s="192"/>
      <c r="B19" s="193"/>
      <c r="C19" s="194"/>
      <c r="D19" s="194"/>
      <c r="E19" s="194"/>
      <c r="F19" s="194"/>
      <c r="G19" s="192"/>
      <c r="H19" s="186"/>
      <c r="I19" s="183"/>
      <c r="J19" s="184"/>
      <c r="K19" s="185"/>
      <c r="L19" s="186"/>
      <c r="M19" s="183"/>
      <c r="N19" s="183"/>
      <c r="O19" s="178"/>
      <c r="P19" s="121"/>
      <c r="Q19" s="152">
        <v>3</v>
      </c>
      <c r="R19" s="153" t="s">
        <v>108</v>
      </c>
      <c r="S19" s="154" t="s">
        <v>109</v>
      </c>
      <c r="T19" s="155" t="s">
        <v>110</v>
      </c>
      <c r="U19" s="153" t="s">
        <v>111</v>
      </c>
      <c r="V19" s="153" t="s">
        <v>112</v>
      </c>
      <c r="W19" s="153" t="s">
        <v>113</v>
      </c>
      <c r="X19" s="138" t="str">
        <f t="shared" si="3"/>
        <v>Probabilidad</v>
      </c>
      <c r="Y19" s="139" t="s">
        <v>104</v>
      </c>
      <c r="Z19" s="139" t="s">
        <v>85</v>
      </c>
      <c r="AA19" s="140" t="str">
        <f t="shared" ref="AA19:AA23" si="11">IF(AND(Y19="Preventivo",Z19="Automático"),"50%",IF(AND(Y19="Preventivo",Z19="Manual"),"40%",IF(AND(Y19="Detectivo",Z19="Automático"),"40%",IF(AND(Y19="Detectivo",Z19="Manual"),"30%",IF(AND(Y19="Correctivo",Z19="Automático"),"35%",IF(AND(Y19="Correctivo",Z19="Manual"),"25%",""))))))</f>
        <v>40%</v>
      </c>
      <c r="AB19" s="7" t="s">
        <v>86</v>
      </c>
      <c r="AC19" s="141" t="s">
        <v>114</v>
      </c>
      <c r="AD19" s="139" t="s">
        <v>88</v>
      </c>
      <c r="AE19" s="7" t="s">
        <v>89</v>
      </c>
      <c r="AF19" s="7" t="str">
        <f t="shared" si="5"/>
        <v xml:space="preserve">Manifiestos de recolección de residuos 
y/o Certificaciones emitidas
Correos electrónicos ( Cuando aplique)
</v>
      </c>
      <c r="AG19" s="15">
        <f>IFERROR(IF(AND(X18="Probabilidad",X19="Probabilidad"),(AI18-(+AI18*AA19)),IF(X19="Probabilidad",($I$17-(+$I$17*AA19)),IF(X19="Impacto",AI18,""))),"")</f>
        <v>0.2016</v>
      </c>
      <c r="AH19" s="143" t="str">
        <f t="shared" ref="AH19" si="12">IFERROR(IF(AG19="","",IF(AG19&lt;=0.2,"Muy Baja",IF(AG19&lt;=0.4,"Baja",IF(AG19&lt;=0.6,"Media",IF(AG19&lt;=0.8,"Alta","Muy Alta"))))),"")</f>
        <v>Baja</v>
      </c>
      <c r="AI19" s="15">
        <f t="shared" ref="AI19" si="13">+AG19</f>
        <v>0.2016</v>
      </c>
      <c r="AJ19" s="144" t="str">
        <f t="shared" ref="AJ19" si="14">IFERROR(IF(AK19="","",IF(AK19&lt;=0.2,"Leve",IF(AK19&lt;=0.4,"Menor",IF(AK19&lt;=0.6,"Moderado",IF(AK19&lt;=0.8,"Mayor","Catastrófico"))))),"")</f>
        <v>Catastrófico</v>
      </c>
      <c r="AK19" s="142">
        <f>IFERROR(IF(AND(X17="Impacto",X17="Impacto"),(AK17-(+AK17*AA19)),IF(X19="Impacto",($M$17-(+$M$17*AA19)),IF(X19="Probabilidad",AK17,""))),"")</f>
        <v>1</v>
      </c>
      <c r="AL19" s="145" t="str">
        <f t="shared" ref="AL19" si="15">+CONCATENATE(AH19, " - ", AJ19)</f>
        <v>Baja - Catastrófico</v>
      </c>
      <c r="AM19" s="146" t="str">
        <f>+VLOOKUP(AL19,Datos!$J$4:$K$28,2,)</f>
        <v>EXTREMO</v>
      </c>
      <c r="AN19" s="179"/>
      <c r="AO19" s="121"/>
      <c r="AP19" s="233"/>
      <c r="AQ19" s="234"/>
      <c r="AR19" s="235"/>
      <c r="AS19" s="125"/>
      <c r="AT19" s="165">
        <v>46156</v>
      </c>
      <c r="AU19" s="167" t="s">
        <v>115</v>
      </c>
      <c r="AV19" s="237"/>
      <c r="AW19" s="239"/>
      <c r="AX19" s="174"/>
      <c r="AY19" s="137"/>
      <c r="AZ19" s="172" t="s">
        <v>116</v>
      </c>
      <c r="BA19" s="176"/>
    </row>
    <row r="20" spans="1:53" ht="240" customHeight="1">
      <c r="A20" s="192"/>
      <c r="B20" s="193"/>
      <c r="C20" s="194"/>
      <c r="D20" s="194"/>
      <c r="E20" s="194"/>
      <c r="F20" s="194"/>
      <c r="G20" s="192"/>
      <c r="H20" s="186"/>
      <c r="I20" s="183"/>
      <c r="J20" s="184"/>
      <c r="K20" s="185"/>
      <c r="L20" s="186"/>
      <c r="M20" s="183"/>
      <c r="N20" s="183"/>
      <c r="O20" s="178"/>
      <c r="P20" s="121"/>
      <c r="Q20" s="105">
        <v>4</v>
      </c>
      <c r="R20" s="153" t="s">
        <v>117</v>
      </c>
      <c r="S20" s="154" t="s">
        <v>109</v>
      </c>
      <c r="T20" s="155" t="s">
        <v>118</v>
      </c>
      <c r="U20" s="153" t="s">
        <v>119</v>
      </c>
      <c r="V20" s="153" t="s">
        <v>120</v>
      </c>
      <c r="W20" s="153" t="s">
        <v>121</v>
      </c>
      <c r="X20" s="138" t="str">
        <f t="shared" si="3"/>
        <v>Probabilidad</v>
      </c>
      <c r="Y20" s="139" t="s">
        <v>104</v>
      </c>
      <c r="Z20" s="139" t="s">
        <v>85</v>
      </c>
      <c r="AA20" s="140" t="str">
        <f t="shared" si="11"/>
        <v>40%</v>
      </c>
      <c r="AB20" s="7" t="s">
        <v>86</v>
      </c>
      <c r="AC20" s="141" t="s">
        <v>122</v>
      </c>
      <c r="AD20" s="139" t="s">
        <v>88</v>
      </c>
      <c r="AE20" s="7" t="s">
        <v>89</v>
      </c>
      <c r="AF20" s="7" t="str">
        <f t="shared" si="5"/>
        <v xml:space="preserve">A-GOD-FT-004 ACTA /  A-GDH-FT-010 
REGISTRO DE ASISTENCIA COMITÉ, JUNTA, REUNION
</v>
      </c>
      <c r="AG20" s="15">
        <f t="shared" ref="AG20:AG22" si="16">IFERROR(IF(AND(X19="Probabilidad",X20="Probabilidad"),(AI19-(+AI19*AA20)),IF(X20="Probabilidad",($I$17-(+$I$17*AA20)),IF(X20="Impacto",AI19,""))),"")</f>
        <v>0.12096</v>
      </c>
      <c r="AH20" s="143" t="str">
        <f t="shared" ref="AH20:AH22" si="17">IFERROR(IF(AG20="","",IF(AG20&lt;=0.2,"Muy Baja",IF(AG20&lt;=0.4,"Baja",IF(AG20&lt;=0.6,"Media",IF(AG20&lt;=0.8,"Alta","Muy Alta"))))),"")</f>
        <v>Muy Baja</v>
      </c>
      <c r="AI20" s="15">
        <f t="shared" ref="AI20:AI22" si="18">+AG20</f>
        <v>0.12096</v>
      </c>
      <c r="AJ20" s="144" t="str">
        <f t="shared" ref="AJ20:AJ22" si="19">IFERROR(IF(AK20="","",IF(AK20&lt;=0.2,"Leve",IF(AK20&lt;=0.4,"Menor",IF(AK20&lt;=0.6,"Moderado",IF(AK20&lt;=0.8,"Mayor","Catastrófico"))))),"")</f>
        <v>Catastrófico</v>
      </c>
      <c r="AK20" s="142">
        <f t="shared" ref="AK20:AK21" si="20">IFERROR(IF(AND(X18="Impacto",X18="Impacto"),(AK18-(+AK18*AA20)),IF(X20="Impacto",($M$17-(+$M$17*AA20)),IF(X20="Probabilidad",AK18,""))),"")</f>
        <v>1</v>
      </c>
      <c r="AL20" s="145" t="str">
        <f t="shared" ref="AL20:AL22" si="21">+CONCATENATE(AH20, " - ", AJ20)</f>
        <v>Muy Baja - Catastrófico</v>
      </c>
      <c r="AM20" s="146" t="str">
        <f>+VLOOKUP(AL20,Datos!$J$4:$K$28,2,)</f>
        <v>EXTREMO</v>
      </c>
      <c r="AN20" s="179"/>
      <c r="AO20" s="121"/>
      <c r="AP20" s="233"/>
      <c r="AQ20" s="234"/>
      <c r="AR20" s="235"/>
      <c r="AS20" s="125"/>
      <c r="AT20" s="165">
        <v>46156</v>
      </c>
      <c r="AU20" s="167" t="s">
        <v>123</v>
      </c>
      <c r="AV20" s="237"/>
      <c r="AW20" s="239"/>
      <c r="AX20" s="174"/>
      <c r="AY20" s="137"/>
      <c r="AZ20" s="172" t="s">
        <v>124</v>
      </c>
      <c r="BA20" s="176"/>
    </row>
    <row r="21" spans="1:53" ht="245.1" customHeight="1">
      <c r="A21" s="192"/>
      <c r="B21" s="193"/>
      <c r="C21" s="194"/>
      <c r="D21" s="194"/>
      <c r="E21" s="194"/>
      <c r="F21" s="194"/>
      <c r="G21" s="192"/>
      <c r="H21" s="186"/>
      <c r="I21" s="183"/>
      <c r="J21" s="184"/>
      <c r="K21" s="185"/>
      <c r="L21" s="186"/>
      <c r="M21" s="183"/>
      <c r="N21" s="183"/>
      <c r="O21" s="178"/>
      <c r="P21" s="121"/>
      <c r="Q21" s="152">
        <v>5</v>
      </c>
      <c r="R21" s="153" t="s">
        <v>125</v>
      </c>
      <c r="S21" s="154" t="s">
        <v>126</v>
      </c>
      <c r="T21" s="155" t="s">
        <v>127</v>
      </c>
      <c r="U21" s="153" t="s">
        <v>128</v>
      </c>
      <c r="V21" s="153" t="s">
        <v>129</v>
      </c>
      <c r="W21" s="153" t="s">
        <v>130</v>
      </c>
      <c r="X21" s="138" t="str">
        <f t="shared" si="3"/>
        <v>Impacto</v>
      </c>
      <c r="Y21" s="139" t="s">
        <v>131</v>
      </c>
      <c r="Z21" s="139" t="s">
        <v>85</v>
      </c>
      <c r="AA21" s="140" t="str">
        <f t="shared" si="11"/>
        <v>25%</v>
      </c>
      <c r="AB21" s="7" t="s">
        <v>86</v>
      </c>
      <c r="AC21" s="141" t="s">
        <v>132</v>
      </c>
      <c r="AD21" s="139" t="s">
        <v>88</v>
      </c>
      <c r="AE21" s="7" t="s">
        <v>89</v>
      </c>
      <c r="AF21" s="7" t="str">
        <f t="shared" si="5"/>
        <v>Formatos: A-GAM-FT 014 Seguimiento a Programas PIGA y Manual de Saneamiento Básico
 A-GDO-FT-004 Acta de Visita y/o A-GAM-FT-007 Informe de gestión ambiental a sedes y/o unidades, seguimiento a de acuerdo con el procedimiento de A-GAM-PR-002</v>
      </c>
      <c r="AG21" s="15">
        <f t="shared" si="16"/>
        <v>0.12096</v>
      </c>
      <c r="AH21" s="143" t="str">
        <f t="shared" si="17"/>
        <v>Muy Baja</v>
      </c>
      <c r="AI21" s="15">
        <f t="shared" si="18"/>
        <v>0.12096</v>
      </c>
      <c r="AJ21" s="144" t="str">
        <f t="shared" si="19"/>
        <v>Mayor</v>
      </c>
      <c r="AK21" s="142">
        <f t="shared" si="20"/>
        <v>0.75</v>
      </c>
      <c r="AL21" s="145" t="str">
        <f t="shared" si="21"/>
        <v>Muy Baja - Mayor</v>
      </c>
      <c r="AM21" s="146" t="str">
        <f>+VLOOKUP(AL21,Datos!$J$4:$K$28,2,)</f>
        <v>ALTO</v>
      </c>
      <c r="AN21" s="179"/>
      <c r="AO21" s="121"/>
      <c r="AP21" s="233"/>
      <c r="AQ21" s="234"/>
      <c r="AR21" s="235"/>
      <c r="AS21" s="125"/>
      <c r="AT21" s="165">
        <v>46156</v>
      </c>
      <c r="AU21" s="168" t="s">
        <v>133</v>
      </c>
      <c r="AV21" s="237"/>
      <c r="AW21" s="239"/>
      <c r="AX21" s="174"/>
      <c r="AY21" s="137"/>
      <c r="AZ21" s="172" t="s">
        <v>134</v>
      </c>
      <c r="BA21" s="176"/>
    </row>
    <row r="22" spans="1:53" ht="243.95" customHeight="1">
      <c r="A22" s="192"/>
      <c r="B22" s="193"/>
      <c r="C22" s="194"/>
      <c r="D22" s="194"/>
      <c r="E22" s="194"/>
      <c r="F22" s="194"/>
      <c r="G22" s="192"/>
      <c r="H22" s="186"/>
      <c r="I22" s="183"/>
      <c r="J22" s="184"/>
      <c r="K22" s="185"/>
      <c r="L22" s="186"/>
      <c r="M22" s="183"/>
      <c r="N22" s="183"/>
      <c r="O22" s="178"/>
      <c r="P22" s="121"/>
      <c r="Q22" s="152">
        <v>6</v>
      </c>
      <c r="R22" s="153" t="s">
        <v>135</v>
      </c>
      <c r="S22" s="154" t="s">
        <v>136</v>
      </c>
      <c r="T22" s="155" t="s">
        <v>137</v>
      </c>
      <c r="U22" s="153" t="s">
        <v>138</v>
      </c>
      <c r="V22" s="153" t="s">
        <v>139</v>
      </c>
      <c r="W22" s="153" t="s">
        <v>140</v>
      </c>
      <c r="X22" s="156" t="str">
        <f t="shared" si="3"/>
        <v>Impacto</v>
      </c>
      <c r="Y22" s="157" t="s">
        <v>131</v>
      </c>
      <c r="Z22" s="157" t="s">
        <v>85</v>
      </c>
      <c r="AA22" s="140" t="str">
        <f t="shared" si="11"/>
        <v>25%</v>
      </c>
      <c r="AB22" s="141" t="s">
        <v>86</v>
      </c>
      <c r="AC22" s="141" t="s">
        <v>105</v>
      </c>
      <c r="AD22" s="157" t="s">
        <v>88</v>
      </c>
      <c r="AE22" s="141" t="s">
        <v>141</v>
      </c>
      <c r="AF22" s="141" t="str">
        <f t="shared" si="5"/>
        <v>A-GDO-FT-004 Acta de Visita /  A-GDH-FT-010 Registro de Asistencia Comité, Junta, Reunión</v>
      </c>
      <c r="AG22" s="15">
        <f t="shared" si="16"/>
        <v>0.12096</v>
      </c>
      <c r="AH22" s="143" t="str">
        <f t="shared" si="17"/>
        <v>Muy Baja</v>
      </c>
      <c r="AI22" s="15">
        <f t="shared" si="18"/>
        <v>0.12096</v>
      </c>
      <c r="AJ22" s="119" t="str">
        <f t="shared" si="19"/>
        <v>Moderado</v>
      </c>
      <c r="AK22" s="142">
        <v>0.56000000000000005</v>
      </c>
      <c r="AL22" s="145" t="str">
        <f t="shared" si="21"/>
        <v>Muy Baja - Moderado</v>
      </c>
      <c r="AM22" s="147" t="str">
        <f>+VLOOKUP(AL22,Datos!$J$4:$K$28,2,)</f>
        <v>MODERADO</v>
      </c>
      <c r="AN22" s="179"/>
      <c r="AO22" s="121"/>
      <c r="AP22" s="233"/>
      <c r="AQ22" s="234"/>
      <c r="AR22" s="235"/>
      <c r="AS22" s="125"/>
      <c r="AT22" s="165">
        <v>46156</v>
      </c>
      <c r="AU22" s="167" t="s">
        <v>123</v>
      </c>
      <c r="AV22" s="237"/>
      <c r="AW22" s="239"/>
      <c r="AX22" s="174"/>
      <c r="AY22" s="137"/>
      <c r="AZ22" s="172" t="s">
        <v>124</v>
      </c>
      <c r="BA22" s="176"/>
    </row>
    <row r="23" spans="1:53" ht="243.95" customHeight="1">
      <c r="A23" s="192"/>
      <c r="B23" s="193"/>
      <c r="C23" s="194"/>
      <c r="D23" s="194"/>
      <c r="E23" s="194"/>
      <c r="F23" s="194"/>
      <c r="G23" s="192"/>
      <c r="H23" s="186"/>
      <c r="I23" s="183"/>
      <c r="J23" s="184"/>
      <c r="K23" s="185"/>
      <c r="L23" s="186"/>
      <c r="M23" s="183"/>
      <c r="N23" s="183"/>
      <c r="O23" s="178"/>
      <c r="P23" s="121"/>
      <c r="Q23" s="152">
        <v>7</v>
      </c>
      <c r="R23" s="153" t="s">
        <v>142</v>
      </c>
      <c r="S23" s="154" t="s">
        <v>143</v>
      </c>
      <c r="T23" s="155" t="s">
        <v>144</v>
      </c>
      <c r="U23" s="153" t="s">
        <v>145</v>
      </c>
      <c r="V23" s="153" t="s">
        <v>146</v>
      </c>
      <c r="W23" s="153" t="s">
        <v>147</v>
      </c>
      <c r="X23" s="138" t="str">
        <f t="shared" si="3"/>
        <v>Impacto</v>
      </c>
      <c r="Y23" s="139" t="s">
        <v>131</v>
      </c>
      <c r="Z23" s="139" t="s">
        <v>85</v>
      </c>
      <c r="AA23" s="140" t="str">
        <f t="shared" si="11"/>
        <v>25%</v>
      </c>
      <c r="AB23" s="7" t="s">
        <v>86</v>
      </c>
      <c r="AC23" s="141" t="s">
        <v>148</v>
      </c>
      <c r="AD23" s="139" t="s">
        <v>88</v>
      </c>
      <c r="AE23" s="7" t="s">
        <v>89</v>
      </c>
      <c r="AF23" s="7" t="str">
        <f t="shared" si="5"/>
        <v xml:space="preserve">Contratos de recolección de residuos en los cuales se establece la constitución de pólizas de amparo / Pólizas de amparo 
Correo electrónico (Cuando aplique)
</v>
      </c>
      <c r="AG23" s="15">
        <f t="shared" ref="AG23" si="22">IFERROR(IF(AND(X22="Probabilidad",X23="Probabilidad"),(AI22-(+AI22*AA23)),IF(X23="Probabilidad",($I$17-(+$I$17*AA23)),IF(X23="Impacto",AI22,""))),"")</f>
        <v>0.12096</v>
      </c>
      <c r="AH23" s="143" t="str">
        <f t="shared" ref="AH23" si="23">IFERROR(IF(AG23="","",IF(AG23&lt;=0.2,"Muy Baja",IF(AG23&lt;=0.4,"Baja",IF(AG23&lt;=0.6,"Media",IF(AG23&lt;=0.8,"Alta","Muy Alta"))))),"")</f>
        <v>Muy Baja</v>
      </c>
      <c r="AI23" s="15">
        <f t="shared" ref="AI23" si="24">+AG23</f>
        <v>0.12096</v>
      </c>
      <c r="AJ23" s="119" t="str">
        <f t="shared" ref="AJ23" si="25">IFERROR(IF(AK23="","",IF(AK23&lt;=0.2,"Leve",IF(AK23&lt;=0.4,"Menor",IF(AK23&lt;=0.6,"Moderado",IF(AK23&lt;=0.8,"Mayor","Catastrófico"))))),"")</f>
        <v>Moderado</v>
      </c>
      <c r="AK23" s="142">
        <v>0.42</v>
      </c>
      <c r="AL23" s="145" t="str">
        <f t="shared" ref="AL23" si="26">+CONCATENATE(AH23, " - ", AJ23)</f>
        <v>Muy Baja - Moderado</v>
      </c>
      <c r="AM23" s="147" t="str">
        <f>+VLOOKUP(AL23,Datos!$J$4:$K$28,2,)</f>
        <v>MODERADO</v>
      </c>
      <c r="AN23" s="179"/>
      <c r="AO23" s="121"/>
      <c r="AP23" s="233"/>
      <c r="AQ23" s="234"/>
      <c r="AR23" s="235"/>
      <c r="AS23" s="125"/>
      <c r="AT23" s="165">
        <v>46156</v>
      </c>
      <c r="AU23" s="167" t="s">
        <v>149</v>
      </c>
      <c r="AV23" s="238"/>
      <c r="AW23" s="239"/>
      <c r="AX23" s="174"/>
      <c r="AY23" s="137"/>
      <c r="AZ23" s="172" t="s">
        <v>150</v>
      </c>
      <c r="BA23" s="176"/>
    </row>
    <row r="24" spans="1:53" ht="93.75" customHeight="1">
      <c r="B24" s="100"/>
      <c r="C24" s="101"/>
      <c r="D24" s="101"/>
      <c r="E24" s="101"/>
      <c r="F24" s="101"/>
      <c r="G24" s="100"/>
      <c r="H24" s="100"/>
      <c r="I24" s="102"/>
      <c r="J24" s="103"/>
      <c r="K24" s="104"/>
      <c r="L24" s="100"/>
      <c r="M24" s="102"/>
      <c r="N24" s="106"/>
      <c r="O24" s="107"/>
      <c r="P24" s="2"/>
      <c r="Q24" s="93"/>
      <c r="R24" s="13"/>
      <c r="S24" s="13"/>
      <c r="T24" s="13"/>
      <c r="U24" s="13"/>
      <c r="V24" s="13"/>
      <c r="W24" s="13"/>
      <c r="X24" s="93"/>
      <c r="Y24" s="108"/>
      <c r="Z24" s="108"/>
      <c r="AA24" s="109"/>
      <c r="AB24" s="110"/>
      <c r="AC24" s="111"/>
      <c r="AD24" s="108"/>
      <c r="AE24" s="110"/>
      <c r="AF24" s="110"/>
      <c r="AG24" s="112"/>
      <c r="AH24" s="108"/>
      <c r="AI24" s="113"/>
      <c r="AJ24" s="114"/>
      <c r="AK24" s="112"/>
      <c r="AL24" s="115"/>
      <c r="AM24" s="116"/>
      <c r="AN24" s="117"/>
      <c r="AO24" s="2"/>
      <c r="AP24" s="118"/>
      <c r="AQ24" s="118"/>
      <c r="AR24" s="118"/>
      <c r="AT24" s="94"/>
      <c r="AU24" s="95"/>
      <c r="AV24" s="96"/>
      <c r="AW24" s="97"/>
      <c r="AX24" s="98"/>
      <c r="AY24" s="14"/>
      <c r="AZ24" s="171"/>
      <c r="BA24" s="99"/>
    </row>
    <row r="25" spans="1:53" ht="20.45">
      <c r="A25" s="177" t="s">
        <v>151</v>
      </c>
      <c r="B25" s="177"/>
      <c r="C25" s="177"/>
      <c r="D25" s="177"/>
      <c r="E25" s="177"/>
      <c r="F25" s="177"/>
      <c r="G25" s="177"/>
      <c r="H25" s="177"/>
      <c r="P25" s="2"/>
      <c r="BA25" s="92" t="s">
        <v>152</v>
      </c>
    </row>
    <row r="26" spans="1:53" ht="15.6">
      <c r="P26" s="2"/>
    </row>
    <row r="27" spans="1:53" ht="15.6">
      <c r="P27" s="2"/>
    </row>
    <row r="28" spans="1:53" ht="15.6">
      <c r="P28" s="2"/>
    </row>
    <row r="29" spans="1:53" ht="15.6">
      <c r="P29" s="2"/>
    </row>
    <row r="30" spans="1:53" ht="15.6">
      <c r="P30" s="2"/>
    </row>
    <row r="31" spans="1:53" ht="15.6">
      <c r="P31" s="2"/>
    </row>
    <row r="32" spans="1:53" ht="15.6">
      <c r="P32" s="2"/>
    </row>
    <row r="33" spans="16:16" ht="15.6">
      <c r="P33" s="2"/>
    </row>
  </sheetData>
  <mergeCells count="51">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D12:M12"/>
    <mergeCell ref="AZ14:BA15"/>
    <mergeCell ref="Y15:AA15"/>
    <mergeCell ref="AB15:AF15"/>
    <mergeCell ref="AG15:AN15"/>
    <mergeCell ref="AZ7:BA8"/>
    <mergeCell ref="A14:O15"/>
    <mergeCell ref="Q14:AN14"/>
    <mergeCell ref="AP14:AR15"/>
    <mergeCell ref="AT14:AX15"/>
    <mergeCell ref="A17:A23"/>
    <mergeCell ref="B17:B23"/>
    <mergeCell ref="C17:C23"/>
    <mergeCell ref="D17:D23"/>
    <mergeCell ref="E17:E23"/>
    <mergeCell ref="L17:L23"/>
    <mergeCell ref="AB16:AC16"/>
    <mergeCell ref="AE16:AF16"/>
    <mergeCell ref="G17:G23"/>
    <mergeCell ref="BA17:BA23"/>
    <mergeCell ref="M17:M23"/>
    <mergeCell ref="N17:N23"/>
    <mergeCell ref="O17:O23"/>
    <mergeCell ref="AN17:AN23"/>
    <mergeCell ref="AP17:AP23"/>
    <mergeCell ref="AQ17:AQ23"/>
    <mergeCell ref="AR17:AR23"/>
    <mergeCell ref="AV17:AV23"/>
    <mergeCell ref="AW17:AW23"/>
    <mergeCell ref="AX17:AX23"/>
    <mergeCell ref="A25:H25"/>
    <mergeCell ref="H17:H23"/>
    <mergeCell ref="I17:I23"/>
    <mergeCell ref="J17:J23"/>
    <mergeCell ref="K17:K23"/>
    <mergeCell ref="F17:F23"/>
  </mergeCells>
  <conditionalFormatting sqref="H17:H24">
    <cfRule type="cellIs" dxfId="80" priority="35" operator="equal">
      <formula>"Muy Alta"</formula>
    </cfRule>
    <cfRule type="cellIs" dxfId="79" priority="36" operator="equal">
      <formula>"Alta"</formula>
    </cfRule>
    <cfRule type="cellIs" dxfId="78" priority="37" operator="equal">
      <formula>"Media"</formula>
    </cfRule>
    <cfRule type="cellIs" dxfId="77" priority="38" operator="equal">
      <formula>"Muy Baja"</formula>
    </cfRule>
    <cfRule type="cellIs" dxfId="76" priority="39" operator="equal">
      <formula>"Baja"</formula>
    </cfRule>
  </conditionalFormatting>
  <conditionalFormatting sqref="L17:L24">
    <cfRule type="cellIs" dxfId="75" priority="30" operator="equal">
      <formula>"Leve"</formula>
    </cfRule>
    <cfRule type="cellIs" dxfId="74" priority="31" operator="equal">
      <formula>"Catastrófico"</formula>
    </cfRule>
    <cfRule type="cellIs" dxfId="73" priority="32" operator="equal">
      <formula>"Mayor"</formula>
    </cfRule>
    <cfRule type="cellIs" dxfId="72" priority="33" operator="equal">
      <formula>"Moderado"</formula>
    </cfRule>
    <cfRule type="cellIs" dxfId="71" priority="34" operator="equal">
      <formula>"Menor"</formula>
    </cfRule>
  </conditionalFormatting>
  <conditionalFormatting sqref="O17:O24 AM17:AM24">
    <cfRule type="cellIs" dxfId="70" priority="26" operator="equal">
      <formula>"EXTREMO"</formula>
    </cfRule>
    <cfRule type="cellIs" dxfId="69" priority="27" operator="equal">
      <formula>"ALTO"</formula>
    </cfRule>
    <cfRule type="cellIs" dxfId="68" priority="28" operator="equal">
      <formula>"BAJO"</formula>
    </cfRule>
    <cfRule type="cellIs" dxfId="67" priority="29" operator="equal">
      <formula>"MODERADO"</formula>
    </cfRule>
  </conditionalFormatting>
  <conditionalFormatting sqref="AH17:AH24">
    <cfRule type="cellIs" dxfId="66" priority="20" operator="equal">
      <formula>"Muy Baja"</formula>
    </cfRule>
    <cfRule type="cellIs" dxfId="65" priority="21" operator="equal">
      <formula>"Baja"</formula>
    </cfRule>
    <cfRule type="cellIs" dxfId="64" priority="22" operator="equal">
      <formula>"Media"</formula>
    </cfRule>
    <cfRule type="cellIs" dxfId="63" priority="23" operator="equal">
      <formula>"Muy Alta"</formula>
    </cfRule>
    <cfRule type="cellIs" dxfId="62" priority="24" operator="equal">
      <formula>"Alta"</formula>
    </cfRule>
  </conditionalFormatting>
  <conditionalFormatting sqref="AJ17:AJ24">
    <cfRule type="cellIs" dxfId="61" priority="15" operator="equal">
      <formula>"Catastrófico"</formula>
    </cfRule>
    <cfRule type="cellIs" dxfId="60" priority="16" operator="equal">
      <formula>"Mayor"</formula>
    </cfRule>
    <cfRule type="cellIs" dxfId="59" priority="17" operator="equal">
      <formula>"Moderado"</formula>
    </cfRule>
    <cfRule type="cellIs" dxfId="58" priority="18" operator="equal">
      <formula>"Menor"</formula>
    </cfRule>
    <cfRule type="cellIs" dxfId="57" priority="1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ignoredErrors>
    <ignoredError sqref="AZ3" numberStoredAsText="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B17:B24</xm:sqref>
        </x14:dataValidation>
        <x14:dataValidation type="list" allowBlank="1" showInputMessage="1" showErrorMessage="1" xr:uid="{1C271E21-0C13-4CE0-AC1D-704F065762CC}">
          <x14:formula1>
            <xm:f>Datos!$O$3:$O$15</xm:f>
          </x14:formula1>
          <xm:sqref>J17:J24</xm:sqref>
        </x14:dataValidation>
        <x14:dataValidation type="list" allowBlank="1" showInputMessage="1" showErrorMessage="1" xr:uid="{7E385074-FCC3-447C-BE62-7DA39EEF346C}">
          <x14:formula1>
            <xm:f>Datos!$P$19:$P$22</xm:f>
          </x14:formula1>
          <xm:sqref>Y17:Y24</xm:sqref>
        </x14:dataValidation>
        <x14:dataValidation type="list" allowBlank="1" showInputMessage="1" showErrorMessage="1" xr:uid="{074425DC-9982-447D-9AA6-38EBEDBFCE06}">
          <x14:formula1>
            <xm:f>Datos!$P$25:$P$26</xm:f>
          </x14:formula1>
          <xm:sqref>Z17:Z24</xm:sqref>
        </x14:dataValidation>
        <x14:dataValidation type="list" allowBlank="1" showInputMessage="1" showErrorMessage="1" xr:uid="{66899A4A-FC03-4C3E-A647-B968F65F688D}">
          <x14:formula1>
            <xm:f>Instructivo!$E$3:$E$9</xm:f>
          </x14:formula1>
          <xm:sqref>F17:F24</xm:sqref>
        </x14:dataValidation>
        <x14:dataValidation type="list" allowBlank="1" showInputMessage="1" showErrorMessage="1" xr:uid="{26AFA87D-2A38-4D49-A571-297B293C4938}">
          <x14:formula1>
            <xm:f>Datos!$P$30:$P$31</xm:f>
          </x14:formula1>
          <xm:sqref>AB17:AB24</xm:sqref>
        </x14:dataValidation>
        <x14:dataValidation type="list" allowBlank="1" showInputMessage="1" showErrorMessage="1" xr:uid="{35465EF9-18AF-4B33-A351-185EF858A09B}">
          <x14:formula1>
            <xm:f>Datos!$P$34:$P$35</xm:f>
          </x14:formula1>
          <xm:sqref>AD17:AD24</xm:sqref>
        </x14:dataValidation>
        <x14:dataValidation type="list" allowBlank="1" showInputMessage="1" showErrorMessage="1" xr:uid="{F7F6D111-7948-42CB-AF23-60A2E37E0021}">
          <x14:formula1>
            <xm:f>Datos!$P$38:$P$39</xm:f>
          </x14:formula1>
          <xm:sqref>AE17:AE24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84BA2-B6C5-8F4E-B000-A57703479F72}">
  <sheetPr>
    <tabColor rgb="FFFFC000"/>
    <pageSetUpPr fitToPage="1"/>
  </sheetPr>
  <dimension ref="A1:BA28"/>
  <sheetViews>
    <sheetView showGridLines="0" topLeftCell="AX18" zoomScale="80" zoomScaleNormal="80" workbookViewId="0">
      <selection activeCell="BD19" sqref="BD19"/>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 customWidth="1"/>
    <col min="9" max="9" width="9.42578125" customWidth="1"/>
    <col min="10" max="10" width="25.42578125" customWidth="1"/>
    <col min="11" max="11" width="32.85546875" customWidth="1"/>
    <col min="12" max="12" width="20"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5703125" style="1" customWidth="1"/>
    <col min="44" max="44" width="20.85546875" style="1" customWidth="1"/>
    <col min="45" max="45" width="1" customWidth="1"/>
    <col min="46" max="46" width="18.28515625" customWidth="1"/>
    <col min="47" max="50" width="45" customWidth="1"/>
    <col min="51" max="51" width="1" customWidth="1"/>
    <col min="52" max="52" width="45" customWidth="1"/>
    <col min="53" max="53" width="74.7109375" customWidth="1"/>
  </cols>
  <sheetData>
    <row r="1" spans="1:53" ht="15.75" customHeight="1">
      <c r="A1" s="206"/>
      <c r="B1" s="207"/>
      <c r="C1" s="223" t="s">
        <v>8</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5"/>
      <c r="AX1" s="206" t="s">
        <v>9</v>
      </c>
      <c r="AY1" s="207"/>
      <c r="AZ1" s="202" t="s">
        <v>10</v>
      </c>
      <c r="BA1" s="203"/>
    </row>
    <row r="2" spans="1:53" ht="15.75" customHeight="1" thickBot="1">
      <c r="A2" s="221"/>
      <c r="B2" s="222"/>
      <c r="C2" s="214"/>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6"/>
      <c r="AX2" s="208"/>
      <c r="AY2" s="209"/>
      <c r="AZ2" s="204"/>
      <c r="BA2" s="205"/>
    </row>
    <row r="3" spans="1:53" ht="15.75" customHeight="1">
      <c r="A3" s="221"/>
      <c r="B3" s="222"/>
      <c r="C3" s="214"/>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6"/>
      <c r="AX3" s="206" t="s">
        <v>11</v>
      </c>
      <c r="AY3" s="207"/>
      <c r="AZ3" s="210" t="s">
        <v>12</v>
      </c>
      <c r="BA3" s="211"/>
    </row>
    <row r="4" spans="1:53" ht="16.5" customHeight="1" thickBot="1">
      <c r="A4" s="221"/>
      <c r="B4" s="222"/>
      <c r="C4" s="217"/>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9"/>
      <c r="AX4" s="208"/>
      <c r="AY4" s="209"/>
      <c r="AZ4" s="212"/>
      <c r="BA4" s="213"/>
    </row>
    <row r="5" spans="1:53" ht="20.45" customHeight="1">
      <c r="A5" s="221"/>
      <c r="B5" s="222"/>
      <c r="C5" s="214" t="s">
        <v>13</v>
      </c>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6"/>
      <c r="AX5" s="206" t="s">
        <v>14</v>
      </c>
      <c r="AY5" s="207"/>
      <c r="AZ5" s="206" t="s">
        <v>153</v>
      </c>
      <c r="BA5" s="207"/>
    </row>
    <row r="6" spans="1:53" ht="15" customHeight="1" thickBot="1">
      <c r="A6" s="221"/>
      <c r="B6" s="222"/>
      <c r="C6" s="214"/>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6"/>
      <c r="AX6" s="208"/>
      <c r="AY6" s="209"/>
      <c r="AZ6" s="208"/>
      <c r="BA6" s="209"/>
    </row>
    <row r="7" spans="1:53" ht="15.75" customHeight="1">
      <c r="A7" s="221"/>
      <c r="B7" s="222"/>
      <c r="C7" s="214"/>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6"/>
      <c r="AX7" s="206" t="s">
        <v>16</v>
      </c>
      <c r="AY7" s="207"/>
      <c r="AZ7" s="220">
        <v>45828</v>
      </c>
      <c r="BA7" s="203"/>
    </row>
    <row r="8" spans="1:53" ht="16.5" customHeight="1" thickBot="1">
      <c r="A8" s="208"/>
      <c r="B8" s="209"/>
      <c r="C8" s="217"/>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9"/>
      <c r="AX8" s="208"/>
      <c r="AY8" s="209"/>
      <c r="AZ8" s="204"/>
      <c r="BA8" s="205"/>
    </row>
    <row r="10" spans="1:53" ht="54" customHeight="1">
      <c r="A10" s="195" t="s">
        <v>17</v>
      </c>
      <c r="B10" s="195"/>
      <c r="C10" s="195"/>
      <c r="D10" s="226" t="s">
        <v>18</v>
      </c>
      <c r="E10" s="227"/>
      <c r="F10" s="227"/>
      <c r="G10" s="227"/>
      <c r="H10" s="227"/>
      <c r="I10" s="227"/>
      <c r="J10" s="227"/>
      <c r="K10" s="227"/>
      <c r="L10" s="227"/>
      <c r="M10" s="228"/>
      <c r="N10" s="12"/>
      <c r="AN10" s="1"/>
      <c r="AO10" s="1"/>
      <c r="AP10" s="1"/>
    </row>
    <row r="11" spans="1:53" s="3" customFormat="1" ht="75" customHeight="1">
      <c r="A11" s="195" t="s">
        <v>19</v>
      </c>
      <c r="B11" s="195"/>
      <c r="C11" s="195"/>
      <c r="D11" s="198" t="s">
        <v>20</v>
      </c>
      <c r="E11" s="199"/>
      <c r="F11" s="199"/>
      <c r="G11" s="199"/>
      <c r="H11" s="199"/>
      <c r="I11" s="199"/>
      <c r="J11" s="199"/>
      <c r="K11" s="199"/>
      <c r="L11" s="199"/>
      <c r="M11" s="200"/>
      <c r="N11" s="1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95" t="s">
        <v>21</v>
      </c>
      <c r="B12" s="195"/>
      <c r="C12" s="195"/>
      <c r="D12" s="198" t="s">
        <v>22</v>
      </c>
      <c r="E12" s="199"/>
      <c r="F12" s="199"/>
      <c r="G12" s="199"/>
      <c r="H12" s="199"/>
      <c r="I12" s="199"/>
      <c r="J12" s="199"/>
      <c r="K12" s="199"/>
      <c r="L12" s="199"/>
      <c r="M12" s="200"/>
      <c r="N12" s="1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6"/>
      <c r="B13" s="6"/>
      <c r="C13" s="6"/>
      <c r="D13" s="6"/>
      <c r="E13" s="6"/>
      <c r="F13" s="6"/>
      <c r="G13" s="6"/>
      <c r="H13" s="6"/>
      <c r="I13" s="6"/>
      <c r="J13" s="6"/>
      <c r="K13" s="6"/>
      <c r="L13" s="6"/>
      <c r="M13" s="6"/>
      <c r="N13" s="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01" t="s">
        <v>23</v>
      </c>
      <c r="B14" s="201"/>
      <c r="C14" s="201"/>
      <c r="D14" s="201"/>
      <c r="E14" s="201"/>
      <c r="F14" s="201"/>
      <c r="G14" s="201"/>
      <c r="H14" s="201"/>
      <c r="I14" s="201"/>
      <c r="J14" s="201"/>
      <c r="K14" s="201"/>
      <c r="L14" s="201"/>
      <c r="M14" s="201"/>
      <c r="N14" s="201"/>
      <c r="O14" s="201"/>
      <c r="P14" s="121"/>
      <c r="Q14" s="196" t="s">
        <v>24</v>
      </c>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21"/>
      <c r="AP14" s="195" t="s">
        <v>25</v>
      </c>
      <c r="AQ14" s="195"/>
      <c r="AR14" s="195"/>
      <c r="AS14" s="122"/>
      <c r="AT14" s="195" t="s">
        <v>26</v>
      </c>
      <c r="AU14" s="195"/>
      <c r="AV14" s="195"/>
      <c r="AW14" s="195"/>
      <c r="AX14" s="195"/>
      <c r="AY14" s="123"/>
      <c r="AZ14" s="195" t="s">
        <v>27</v>
      </c>
      <c r="BA14" s="195"/>
    </row>
    <row r="15" spans="1:53">
      <c r="A15" s="201"/>
      <c r="B15" s="201"/>
      <c r="C15" s="201"/>
      <c r="D15" s="201"/>
      <c r="E15" s="201"/>
      <c r="F15" s="201"/>
      <c r="G15" s="201"/>
      <c r="H15" s="201"/>
      <c r="I15" s="201"/>
      <c r="J15" s="201"/>
      <c r="K15" s="201"/>
      <c r="L15" s="201"/>
      <c r="M15" s="201"/>
      <c r="N15" s="201"/>
      <c r="O15" s="201"/>
      <c r="P15" s="121"/>
      <c r="Q15" s="124"/>
      <c r="R15" s="124"/>
      <c r="S15" s="124"/>
      <c r="T15" s="124"/>
      <c r="U15" s="124"/>
      <c r="V15" s="124"/>
      <c r="W15" s="124"/>
      <c r="X15" s="124"/>
      <c r="Y15" s="196" t="s">
        <v>28</v>
      </c>
      <c r="Z15" s="196"/>
      <c r="AA15" s="196"/>
      <c r="AB15" s="196" t="s">
        <v>29</v>
      </c>
      <c r="AC15" s="196"/>
      <c r="AD15" s="196"/>
      <c r="AE15" s="196"/>
      <c r="AF15" s="196"/>
      <c r="AG15" s="197"/>
      <c r="AH15" s="197"/>
      <c r="AI15" s="197"/>
      <c r="AJ15" s="197"/>
      <c r="AK15" s="197"/>
      <c r="AL15" s="197"/>
      <c r="AM15" s="197"/>
      <c r="AN15" s="197"/>
      <c r="AO15" s="121"/>
      <c r="AP15" s="195"/>
      <c r="AQ15" s="195"/>
      <c r="AR15" s="195"/>
      <c r="AS15" s="125"/>
      <c r="AT15" s="195"/>
      <c r="AU15" s="195"/>
      <c r="AV15" s="195"/>
      <c r="AW15" s="195"/>
      <c r="AX15" s="195"/>
      <c r="AY15" s="123"/>
      <c r="AZ15" s="195"/>
      <c r="BA15" s="195"/>
    </row>
    <row r="16" spans="1:53" s="5" customFormat="1" ht="166.5" customHeight="1">
      <c r="A16" s="126" t="s">
        <v>30</v>
      </c>
      <c r="B16" s="127" t="s">
        <v>31</v>
      </c>
      <c r="C16" s="128" t="s">
        <v>32</v>
      </c>
      <c r="D16" s="128" t="s">
        <v>33</v>
      </c>
      <c r="E16" s="129" t="s">
        <v>34</v>
      </c>
      <c r="F16" s="130" t="s">
        <v>35</v>
      </c>
      <c r="G16" s="131" t="s">
        <v>36</v>
      </c>
      <c r="H16" s="129" t="s">
        <v>37</v>
      </c>
      <c r="I16" s="128" t="s">
        <v>38</v>
      </c>
      <c r="J16" s="128" t="s">
        <v>39</v>
      </c>
      <c r="K16" s="129" t="s">
        <v>40</v>
      </c>
      <c r="L16" s="129" t="s">
        <v>41</v>
      </c>
      <c r="M16" s="128" t="s">
        <v>38</v>
      </c>
      <c r="N16" s="128" t="s">
        <v>42</v>
      </c>
      <c r="O16" s="132" t="s">
        <v>43</v>
      </c>
      <c r="P16" s="121"/>
      <c r="Q16" s="133" t="s">
        <v>44</v>
      </c>
      <c r="R16" s="83" t="s">
        <v>45</v>
      </c>
      <c r="S16" s="83" t="s">
        <v>46</v>
      </c>
      <c r="T16" s="83" t="s">
        <v>47</v>
      </c>
      <c r="U16" s="83" t="s">
        <v>48</v>
      </c>
      <c r="V16" s="83" t="s">
        <v>49</v>
      </c>
      <c r="W16" s="83" t="s">
        <v>50</v>
      </c>
      <c r="X16" s="120" t="s">
        <v>51</v>
      </c>
      <c r="Y16" s="133" t="s">
        <v>52</v>
      </c>
      <c r="Z16" s="133" t="s">
        <v>53</v>
      </c>
      <c r="AA16" s="133" t="s">
        <v>54</v>
      </c>
      <c r="AB16" s="190" t="s">
        <v>55</v>
      </c>
      <c r="AC16" s="191"/>
      <c r="AD16" s="133" t="s">
        <v>56</v>
      </c>
      <c r="AE16" s="190" t="s">
        <v>57</v>
      </c>
      <c r="AF16" s="191"/>
      <c r="AG16" s="132" t="s">
        <v>58</v>
      </c>
      <c r="AH16" s="132" t="s">
        <v>59</v>
      </c>
      <c r="AI16" s="132" t="s">
        <v>38</v>
      </c>
      <c r="AJ16" s="132" t="s">
        <v>60</v>
      </c>
      <c r="AK16" s="132" t="s">
        <v>38</v>
      </c>
      <c r="AL16" s="132" t="s">
        <v>42</v>
      </c>
      <c r="AM16" s="132" t="s">
        <v>61</v>
      </c>
      <c r="AN16" s="132" t="s">
        <v>62</v>
      </c>
      <c r="AO16" s="121"/>
      <c r="AP16" s="134" t="s">
        <v>63</v>
      </c>
      <c r="AQ16" s="134" t="s">
        <v>64</v>
      </c>
      <c r="AR16" s="83" t="s">
        <v>65</v>
      </c>
      <c r="AS16" s="135"/>
      <c r="AT16" s="136" t="s">
        <v>66</v>
      </c>
      <c r="AU16" s="136" t="s">
        <v>67</v>
      </c>
      <c r="AV16" s="136" t="s">
        <v>68</v>
      </c>
      <c r="AW16" s="136" t="s">
        <v>69</v>
      </c>
      <c r="AX16" s="136" t="s">
        <v>70</v>
      </c>
      <c r="AY16" s="137"/>
      <c r="AZ16" s="136" t="s">
        <v>71</v>
      </c>
      <c r="BA16" s="136" t="s">
        <v>72</v>
      </c>
    </row>
    <row r="17" spans="1:53" ht="267.95" customHeight="1">
      <c r="A17" s="192">
        <v>2</v>
      </c>
      <c r="B17" s="193" t="s">
        <v>73</v>
      </c>
      <c r="C17" s="194" t="s">
        <v>74</v>
      </c>
      <c r="D17" s="194" t="s">
        <v>154</v>
      </c>
      <c r="E17" s="194" t="s">
        <v>155</v>
      </c>
      <c r="F17" s="194"/>
      <c r="G17" s="192">
        <v>11</v>
      </c>
      <c r="H17" s="186" t="str">
        <f>IF(G17&lt;=0,"",IF(G17&lt;=2,"Muy Baja",IF(G17&lt;=24,"Baja",IF(G17&lt;=500,"Media",IF(G17&lt;=5000,"Alta","Muy Alta")))))</f>
        <v>Baja</v>
      </c>
      <c r="I17" s="183">
        <f>IF(H17="","",IF(H17="Muy Baja",0.2,IF(H17="Baja",0.4,IF(H17="Media",0.6,IF(H17="Alta",0.8,IF(H17="Muy Alta",1,))))))</f>
        <v>0.4</v>
      </c>
      <c r="J17" s="184" t="s">
        <v>77</v>
      </c>
      <c r="K17" s="185" t="str">
        <f>+J17</f>
        <v xml:space="preserve">Afectación mayor a 3000 SMLMV </v>
      </c>
      <c r="L17" s="186" t="str">
        <f>+VLOOKUP(K17,Datos!$O$4:$P$15,2,FALSE)</f>
        <v>Catastrófico</v>
      </c>
      <c r="M17" s="183">
        <f>IF(L17="","",IF(L17="Leve",0.2,IF(L17="Menor",0.4,IF(L17="Moderado",0.6,IF(L17="Mayor",0.8,IF(L17="Catastrófico",1,))))))</f>
        <v>1</v>
      </c>
      <c r="N17" s="183" t="str">
        <f>+CONCATENATE(H17, " - ", L17)</f>
        <v>Baja - Catastrófico</v>
      </c>
      <c r="O17" s="178" t="str">
        <f>+VLOOKUP(N17,Datos!J4:K28,2,)</f>
        <v>EXTREMO</v>
      </c>
      <c r="P17" s="121"/>
      <c r="Q17" s="152">
        <v>1</v>
      </c>
      <c r="R17" s="158" t="s">
        <v>156</v>
      </c>
      <c r="S17" s="158" t="s">
        <v>157</v>
      </c>
      <c r="T17" s="159" t="s">
        <v>158</v>
      </c>
      <c r="U17" s="158" t="s">
        <v>159</v>
      </c>
      <c r="V17" s="158" t="s">
        <v>160</v>
      </c>
      <c r="W17" s="158" t="s">
        <v>161</v>
      </c>
      <c r="X17" s="138" t="str">
        <f>IF(OR(Y17="Preventivo",Y17="Detectivo"),"Probabilidad",IF(Y17="Correctivo","Impacto",""))</f>
        <v>Probabilidad</v>
      </c>
      <c r="Y17" s="139" t="s">
        <v>104</v>
      </c>
      <c r="Z17" s="139" t="s">
        <v>85</v>
      </c>
      <c r="AA17" s="140" t="str">
        <f t="shared" ref="AA17:AA18" si="0">IF(AND(Y17="Preventivo",Z17="Automático"),"50%",IF(AND(Y17="Preventivo",Z17="Manual"),"40%",IF(AND(Y17="Detectivo",Z17="Automático"),"40%",IF(AND(Y17="Detectivo",Z17="Manual"),"30%",IF(AND(Y17="Correctivo",Z17="Automático"),"35%",IF(AND(Y17="Correctivo",Z17="Manual"),"25%",""))))))</f>
        <v>40%</v>
      </c>
      <c r="AB17" s="7" t="s">
        <v>86</v>
      </c>
      <c r="AC17" s="141" t="s">
        <v>162</v>
      </c>
      <c r="AD17" s="139" t="s">
        <v>88</v>
      </c>
      <c r="AE17" s="7" t="s">
        <v>89</v>
      </c>
      <c r="AF17" s="7" t="str">
        <f>+W17</f>
        <v>Reporte de la Mesa de Ayuda con la solicitud de recolección de residuos, limpieza de trampas de grasa y limpieza de pozos sépticos
Acta de visita ( Cuando aplique)</v>
      </c>
      <c r="AG17" s="142">
        <f>IFERROR(IF(X17="Probabilidad",(I17-(+I17*AA17)),IF(X17="Impacto",I17,"")),"")</f>
        <v>0.24</v>
      </c>
      <c r="AH17" s="143" t="str">
        <f t="shared" ref="AH17:AH18" si="1">IFERROR(IF(AG17="","",IF(AG17&lt;=0.2,"Muy Baja",IF(AG17&lt;=0.4,"Baja",IF(AG17&lt;=0.6,"Media",IF(AG17&lt;=0.8,"Alta","Muy Alta"))))),"")</f>
        <v>Baja</v>
      </c>
      <c r="AI17" s="15">
        <f>I17-(AA17*I17)</f>
        <v>0.24</v>
      </c>
      <c r="AJ17" s="144" t="str">
        <f t="shared" ref="AJ17:AJ18" si="2">IFERROR(IF(AK17="","",IF(AK17&lt;=0.2,"Leve",IF(AK17&lt;=0.4,"Menor",IF(AK17&lt;=0.6,"Moderado",IF(AK17&lt;=0.8,"Mayor","Catastrófico"))))),"")</f>
        <v>Catastrófico</v>
      </c>
      <c r="AK17" s="142">
        <f>IFERROR(IF(X17="Impacto",(M17-(+M17*AA17)),IF(X17="Probabilidad",M17,"")),"")</f>
        <v>1</v>
      </c>
      <c r="AL17" s="145" t="str">
        <f>+CONCATENATE(AH17, " - ", AJ17)</f>
        <v>Baja - Catastrófico</v>
      </c>
      <c r="AM17" s="146" t="str">
        <f>+VLOOKUP(AL17,Datos!$J$4:$K$28,2,)</f>
        <v>EXTREMO</v>
      </c>
      <c r="AN17" s="242" t="s">
        <v>90</v>
      </c>
      <c r="AO17" s="121"/>
      <c r="AP17" s="233" t="s">
        <v>163</v>
      </c>
      <c r="AQ17" s="234" t="s">
        <v>164</v>
      </c>
      <c r="AR17" s="235">
        <v>46386</v>
      </c>
      <c r="AS17" s="125"/>
      <c r="AT17" s="165">
        <v>45791</v>
      </c>
      <c r="AU17" s="166" t="s">
        <v>165</v>
      </c>
      <c r="AV17" s="240" t="s">
        <v>95</v>
      </c>
      <c r="AW17" s="187" t="s">
        <v>166</v>
      </c>
      <c r="AX17" s="240" t="s">
        <v>95</v>
      </c>
      <c r="AY17" s="137"/>
      <c r="AZ17" s="173" t="s">
        <v>167</v>
      </c>
      <c r="BA17" s="175" t="s">
        <v>168</v>
      </c>
    </row>
    <row r="18" spans="1:53" ht="409.5" customHeight="1">
      <c r="A18" s="192"/>
      <c r="B18" s="193"/>
      <c r="C18" s="194"/>
      <c r="D18" s="194"/>
      <c r="E18" s="194"/>
      <c r="F18" s="194"/>
      <c r="G18" s="192"/>
      <c r="H18" s="186"/>
      <c r="I18" s="183"/>
      <c r="J18" s="184"/>
      <c r="K18" s="185"/>
      <c r="L18" s="186"/>
      <c r="M18" s="183"/>
      <c r="N18" s="183"/>
      <c r="O18" s="178"/>
      <c r="P18" s="121"/>
      <c r="Q18" s="152">
        <v>2</v>
      </c>
      <c r="R18" s="158" t="s">
        <v>169</v>
      </c>
      <c r="S18" s="158" t="s">
        <v>170</v>
      </c>
      <c r="T18" s="158" t="s">
        <v>171</v>
      </c>
      <c r="U18" s="158" t="s">
        <v>172</v>
      </c>
      <c r="V18" s="158" t="s">
        <v>173</v>
      </c>
      <c r="W18" s="158" t="s">
        <v>174</v>
      </c>
      <c r="X18" s="138" t="str">
        <f t="shared" ref="X18" si="3">IF(OR(Y18="Preventivo",Y18="Detectivo"),"Probabilidad",IF(Y18="Correctivo","Impacto",""))</f>
        <v>Probabilidad</v>
      </c>
      <c r="Y18" s="139" t="s">
        <v>84</v>
      </c>
      <c r="Z18" s="139" t="s">
        <v>85</v>
      </c>
      <c r="AA18" s="140" t="str">
        <f t="shared" si="0"/>
        <v>30%</v>
      </c>
      <c r="AB18" s="7" t="s">
        <v>86</v>
      </c>
      <c r="AC18" s="141" t="s">
        <v>175</v>
      </c>
      <c r="AD18" s="139" t="s">
        <v>88</v>
      </c>
      <c r="AE18" s="7" t="s">
        <v>89</v>
      </c>
      <c r="AF18" s="7" t="s">
        <v>176</v>
      </c>
      <c r="AG18" s="15">
        <f>IFERROR(IF(AND(X17="Probabilidad",X18="Probabilidad"),(AI17-(+AI17*AA18)),IF(X18="Probabilidad",($I$17-(+$I$17*AA18)),IF(X18="Impacto",AI17,""))),"")</f>
        <v>0.16799999999999998</v>
      </c>
      <c r="AH18" s="143" t="str">
        <f t="shared" si="1"/>
        <v>Muy Baja</v>
      </c>
      <c r="AI18" s="15">
        <f t="shared" ref="AI18" si="4">+AG18</f>
        <v>0.16799999999999998</v>
      </c>
      <c r="AJ18" s="144" t="str">
        <f t="shared" si="2"/>
        <v>Catastrófico</v>
      </c>
      <c r="AK18" s="142">
        <f t="shared" ref="AK18" si="5">IFERROR(IF(AND(X17="Impacto",X17="Impacto"),(AK17-(+AK17*AA18)),IF(X18="Impacto",($M$17-(+$M$17*AA18)),IF(X18="Probabilidad",AK17,""))),"")</f>
        <v>1</v>
      </c>
      <c r="AL18" s="145" t="str">
        <f t="shared" ref="AL18" si="6">+CONCATENATE(AH18, " - ", AJ18)</f>
        <v>Muy Baja - Catastrófico</v>
      </c>
      <c r="AM18" s="146" t="str">
        <f>+VLOOKUP(AL18,Datos!$J$4:$K$28,2,)</f>
        <v>EXTREMO</v>
      </c>
      <c r="AN18" s="243"/>
      <c r="AO18" s="121"/>
      <c r="AP18" s="233"/>
      <c r="AQ18" s="234"/>
      <c r="AR18" s="235"/>
      <c r="AS18" s="125"/>
      <c r="AT18" s="165">
        <v>45791</v>
      </c>
      <c r="AU18" s="166" t="s">
        <v>177</v>
      </c>
      <c r="AV18" s="241"/>
      <c r="AW18" s="189"/>
      <c r="AX18" s="241"/>
      <c r="AY18" s="137"/>
      <c r="AZ18" s="173" t="s">
        <v>178</v>
      </c>
      <c r="BA18" s="176"/>
    </row>
    <row r="19" spans="1:53" ht="93.75" customHeight="1">
      <c r="B19" s="148"/>
      <c r="C19" s="149"/>
      <c r="D19" s="149"/>
      <c r="E19" s="149"/>
      <c r="F19" s="149"/>
      <c r="G19" s="148"/>
      <c r="H19" s="148"/>
      <c r="I19" s="106"/>
      <c r="J19" s="150"/>
      <c r="K19" s="151"/>
      <c r="L19" s="148"/>
      <c r="M19" s="106"/>
      <c r="N19" s="106"/>
      <c r="O19" s="107"/>
      <c r="P19" s="2"/>
      <c r="Q19" s="93"/>
      <c r="R19" s="13"/>
      <c r="S19" s="13"/>
      <c r="T19" s="13"/>
      <c r="U19" s="13"/>
      <c r="V19" s="13"/>
      <c r="W19" s="13"/>
      <c r="X19" s="93"/>
      <c r="Y19" s="108"/>
      <c r="Z19" s="108"/>
      <c r="AA19" s="109"/>
      <c r="AB19" s="110"/>
      <c r="AC19" s="111"/>
      <c r="AD19" s="108"/>
      <c r="AE19" s="110"/>
      <c r="AF19" s="110"/>
      <c r="AG19" s="112"/>
      <c r="AH19" s="108"/>
      <c r="AI19" s="113"/>
      <c r="AJ19" s="114"/>
      <c r="AK19" s="112"/>
      <c r="AL19" s="115"/>
      <c r="AM19" s="116"/>
      <c r="AN19" s="117"/>
      <c r="AO19" s="2"/>
      <c r="AP19" s="118"/>
      <c r="AQ19" s="118"/>
      <c r="AR19" s="118"/>
      <c r="AT19" s="94"/>
      <c r="AU19" s="95"/>
      <c r="AV19" s="96"/>
      <c r="AW19" s="97"/>
      <c r="AX19" s="98"/>
      <c r="AY19" s="14"/>
      <c r="AZ19" s="96"/>
      <c r="BA19" s="99"/>
    </row>
    <row r="20" spans="1:53" ht="20.45" customHeight="1">
      <c r="A20" s="177" t="s">
        <v>151</v>
      </c>
      <c r="B20" s="177"/>
      <c r="C20" s="177"/>
      <c r="D20" s="177"/>
      <c r="E20" s="177"/>
      <c r="F20" s="177"/>
      <c r="G20" s="177"/>
      <c r="H20" s="177"/>
      <c r="P20" s="2"/>
      <c r="BA20" s="92" t="s">
        <v>152</v>
      </c>
    </row>
    <row r="21" spans="1:53" ht="15.75">
      <c r="P21" s="2"/>
    </row>
    <row r="22" spans="1:53">
      <c r="P22" s="2"/>
    </row>
    <row r="23" spans="1:53">
      <c r="P23" s="2"/>
    </row>
    <row r="24" spans="1:53">
      <c r="P24" s="2"/>
    </row>
    <row r="25" spans="1:53">
      <c r="P25" s="2"/>
    </row>
    <row r="26" spans="1:53">
      <c r="P26" s="2"/>
    </row>
    <row r="27" spans="1:53">
      <c r="P27" s="2"/>
    </row>
    <row r="28" spans="1:53" s="1" customFormat="1">
      <c r="A28"/>
      <c r="B28"/>
      <c r="C28"/>
      <c r="D28"/>
      <c r="E28"/>
      <c r="F28"/>
      <c r="G28"/>
      <c r="H28"/>
      <c r="I28"/>
      <c r="J28"/>
      <c r="K28"/>
      <c r="P28" s="2"/>
      <c r="AN28" s="4"/>
      <c r="AO28" s="4"/>
      <c r="AP28" s="4"/>
      <c r="AS28"/>
      <c r="AT28"/>
      <c r="AU28"/>
      <c r="AV28"/>
      <c r="AW28"/>
      <c r="AX28"/>
      <c r="AY28"/>
      <c r="AZ28"/>
      <c r="BA28"/>
    </row>
  </sheetData>
  <mergeCells count="51">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B16:AC16"/>
    <mergeCell ref="AE16:AF16"/>
    <mergeCell ref="A17:A18"/>
    <mergeCell ref="B17:B18"/>
    <mergeCell ref="C17:C18"/>
    <mergeCell ref="D17:D18"/>
    <mergeCell ref="E17:E18"/>
    <mergeCell ref="F17:F18"/>
    <mergeCell ref="G17:G18"/>
    <mergeCell ref="H17:H18"/>
    <mergeCell ref="AW17:AW18"/>
    <mergeCell ref="AX17:AX18"/>
    <mergeCell ref="BA17:BA18"/>
    <mergeCell ref="A20:H20"/>
    <mergeCell ref="O17:O18"/>
    <mergeCell ref="AN17:AN18"/>
    <mergeCell ref="AP17:AP18"/>
    <mergeCell ref="AQ17:AQ18"/>
    <mergeCell ref="AR17:AR18"/>
    <mergeCell ref="AV17:AV18"/>
    <mergeCell ref="I17:I18"/>
    <mergeCell ref="J17:J18"/>
    <mergeCell ref="K17:K18"/>
    <mergeCell ref="L17:L18"/>
    <mergeCell ref="M17:M18"/>
    <mergeCell ref="N17:N18"/>
  </mergeCells>
  <conditionalFormatting sqref="H17:H19">
    <cfRule type="cellIs" dxfId="56" priority="34" operator="equal">
      <formula>"Muy Alta"</formula>
    </cfRule>
    <cfRule type="cellIs" dxfId="55" priority="35" operator="equal">
      <formula>"Alta"</formula>
    </cfRule>
    <cfRule type="cellIs" dxfId="54" priority="36" operator="equal">
      <formula>"Media"</formula>
    </cfRule>
    <cfRule type="cellIs" dxfId="53" priority="37" operator="equal">
      <formula>"Muy Baja"</formula>
    </cfRule>
    <cfRule type="cellIs" dxfId="52" priority="38" operator="equal">
      <formula>"Baja"</formula>
    </cfRule>
  </conditionalFormatting>
  <conditionalFormatting sqref="L17:L19">
    <cfRule type="cellIs" dxfId="51" priority="29" operator="equal">
      <formula>"Leve"</formula>
    </cfRule>
    <cfRule type="cellIs" dxfId="50" priority="30" operator="equal">
      <formula>"Catastrófico"</formula>
    </cfRule>
    <cfRule type="cellIs" dxfId="49" priority="31" operator="equal">
      <formula>"Mayor"</formula>
    </cfRule>
    <cfRule type="cellIs" dxfId="48" priority="32" operator="equal">
      <formula>"Moderado"</formula>
    </cfRule>
    <cfRule type="cellIs" dxfId="47" priority="33" operator="equal">
      <formula>"Menor"</formula>
    </cfRule>
  </conditionalFormatting>
  <conditionalFormatting sqref="O17:O19">
    <cfRule type="cellIs" dxfId="46" priority="25" operator="equal">
      <formula>"EXTREMO"</formula>
    </cfRule>
    <cfRule type="cellIs" dxfId="45" priority="26" operator="equal">
      <formula>"ALTO"</formula>
    </cfRule>
    <cfRule type="cellIs" dxfId="44" priority="27" operator="equal">
      <formula>"BAJO"</formula>
    </cfRule>
    <cfRule type="cellIs" dxfId="43" priority="28" operator="equal">
      <formula>"MODERADO"</formula>
    </cfRule>
  </conditionalFormatting>
  <conditionalFormatting sqref="AH17:AH19">
    <cfRule type="cellIs" dxfId="42" priority="6" operator="equal">
      <formula>"Muy Baja"</formula>
    </cfRule>
    <cfRule type="cellIs" dxfId="41" priority="7" operator="equal">
      <formula>"Baja"</formula>
    </cfRule>
    <cfRule type="cellIs" dxfId="40" priority="8" operator="equal">
      <formula>"Media"</formula>
    </cfRule>
    <cfRule type="cellIs" dxfId="39" priority="9" operator="equal">
      <formula>"Muy Alta"</formula>
    </cfRule>
    <cfRule type="cellIs" dxfId="38" priority="10" operator="equal">
      <formula>"Alta"</formula>
    </cfRule>
  </conditionalFormatting>
  <conditionalFormatting sqref="AJ17:AJ19">
    <cfRule type="cellIs" dxfId="37" priority="1" operator="equal">
      <formula>"Catastrófico"</formula>
    </cfRule>
    <cfRule type="cellIs" dxfId="36" priority="2" operator="equal">
      <formula>"Mayor"</formula>
    </cfRule>
    <cfRule type="cellIs" dxfId="35" priority="3" operator="equal">
      <formula>"Moderado"</formula>
    </cfRule>
    <cfRule type="cellIs" dxfId="34" priority="4" operator="equal">
      <formula>"Menor"</formula>
    </cfRule>
    <cfRule type="cellIs" dxfId="33" priority="5" operator="equal">
      <formula>"Leve"</formula>
    </cfRule>
  </conditionalFormatting>
  <conditionalFormatting sqref="AM17:AM19">
    <cfRule type="cellIs" dxfId="32" priority="11" operator="equal">
      <formula>"EXTREMO"</formula>
    </cfRule>
    <cfRule type="cellIs" dxfId="31" priority="12" operator="equal">
      <formula>"ALTO"</formula>
    </cfRule>
    <cfRule type="cellIs" dxfId="30" priority="13" operator="equal">
      <formula>"BAJO"</formula>
    </cfRule>
    <cfRule type="cellIs" dxfId="29" priority="14" operator="equal">
      <formula>"MODERADO"</formula>
    </cfRule>
  </conditionalFormatting>
  <hyperlinks>
    <hyperlink ref="A14:O15" location="Instructivo!A1" display="IDENTIFICACIÓN DEL RIESGO" xr:uid="{85910704-DCFF-484B-857E-0DC8F6A8D6E8}"/>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10CC8138-91DF-2F47-9125-918A44D45E25}">
          <x14:formula1>
            <xm:f>Datos!$P$38:$P$39</xm:f>
          </x14:formula1>
          <xm:sqref>AE17:AE19</xm:sqref>
        </x14:dataValidation>
        <x14:dataValidation type="list" allowBlank="1" showInputMessage="1" showErrorMessage="1" xr:uid="{F95C242E-5820-D64F-B00D-123F55AC847F}">
          <x14:formula1>
            <xm:f>Datos!$P$34:$P$35</xm:f>
          </x14:formula1>
          <xm:sqref>AD17:AD19</xm:sqref>
        </x14:dataValidation>
        <x14:dataValidation type="list" allowBlank="1" showInputMessage="1" showErrorMessage="1" xr:uid="{2A3CB4AD-C337-1E48-BF74-E281316DE59A}">
          <x14:formula1>
            <xm:f>Datos!$P$30:$P$31</xm:f>
          </x14:formula1>
          <xm:sqref>AB17:AB19</xm:sqref>
        </x14:dataValidation>
        <x14:dataValidation type="list" allowBlank="1" showInputMessage="1" showErrorMessage="1" xr:uid="{F8832B93-B75D-B94F-BE99-F630F4623415}">
          <x14:formula1>
            <xm:f>Instructivo!$E$3:$E$9</xm:f>
          </x14:formula1>
          <xm:sqref>F17:F19</xm:sqref>
        </x14:dataValidation>
        <x14:dataValidation type="list" allowBlank="1" showInputMessage="1" showErrorMessage="1" xr:uid="{D6BB46B4-A360-7F46-9F03-0D9070F61238}">
          <x14:formula1>
            <xm:f>Datos!$P$25:$P$26</xm:f>
          </x14:formula1>
          <xm:sqref>Z17:Z19</xm:sqref>
        </x14:dataValidation>
        <x14:dataValidation type="list" allowBlank="1" showInputMessage="1" showErrorMessage="1" xr:uid="{2CBD6519-8497-214C-BB66-6D94AB6A4840}">
          <x14:formula1>
            <xm:f>Datos!$P$19:$P$22</xm:f>
          </x14:formula1>
          <xm:sqref>Y17:Y19</xm:sqref>
        </x14:dataValidation>
        <x14:dataValidation type="list" allowBlank="1" showInputMessage="1" showErrorMessage="1" xr:uid="{9212C9F0-E46D-2A40-942E-076090212EB2}">
          <x14:formula1>
            <xm:f>Datos!$O$3:$O$15</xm:f>
          </x14:formula1>
          <xm:sqref>J17:J19</xm:sqref>
        </x14:dataValidation>
        <x14:dataValidation type="list" allowBlank="1" showInputMessage="1" showErrorMessage="1" xr:uid="{907BA24F-BE4D-9546-9178-F2102129A08B}">
          <x14:formula1>
            <xm:f>Datos!$A$4:$A$6</xm:f>
          </x14:formula1>
          <xm:sqref>B17:B19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E37E-1D99-8647-9B18-AC0EA578C0A9}">
  <sheetPr>
    <tabColor rgb="FFFFC000"/>
    <pageSetUpPr fitToPage="1"/>
  </sheetPr>
  <dimension ref="A1:BA30"/>
  <sheetViews>
    <sheetView showGridLines="0" topLeftCell="AZ16" zoomScale="70" zoomScaleNormal="70" workbookViewId="0">
      <selection activeCell="BA16" sqref="BA16"/>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 customWidth="1"/>
    <col min="9" max="9" width="9.42578125" customWidth="1"/>
    <col min="10" max="10" width="25.42578125" customWidth="1"/>
    <col min="11" max="11" width="32.85546875" customWidth="1"/>
    <col min="12" max="12" width="20"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5703125" style="1" customWidth="1"/>
    <col min="44" max="44" width="20.85546875" style="1" customWidth="1"/>
    <col min="45" max="45" width="1" customWidth="1"/>
    <col min="46" max="46" width="18.28515625" customWidth="1"/>
    <col min="47" max="50" width="45" customWidth="1"/>
    <col min="51" max="51" width="1" customWidth="1"/>
    <col min="52" max="52" width="45" customWidth="1"/>
    <col min="53" max="53" width="69.140625" customWidth="1"/>
  </cols>
  <sheetData>
    <row r="1" spans="1:53" ht="15.75" customHeight="1">
      <c r="A1" s="206"/>
      <c r="B1" s="207"/>
      <c r="C1" s="223" t="s">
        <v>8</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5"/>
      <c r="AX1" s="206" t="s">
        <v>9</v>
      </c>
      <c r="AY1" s="207"/>
      <c r="AZ1" s="202" t="s">
        <v>10</v>
      </c>
      <c r="BA1" s="203"/>
    </row>
    <row r="2" spans="1:53" ht="15.75" customHeight="1" thickBot="1">
      <c r="A2" s="221"/>
      <c r="B2" s="222"/>
      <c r="C2" s="214"/>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6"/>
      <c r="AX2" s="208"/>
      <c r="AY2" s="209"/>
      <c r="AZ2" s="204"/>
      <c r="BA2" s="205"/>
    </row>
    <row r="3" spans="1:53" ht="15.75" customHeight="1">
      <c r="A3" s="221"/>
      <c r="B3" s="222"/>
      <c r="C3" s="214"/>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6"/>
      <c r="AX3" s="206" t="s">
        <v>11</v>
      </c>
      <c r="AY3" s="207"/>
      <c r="AZ3" s="210" t="s">
        <v>12</v>
      </c>
      <c r="BA3" s="211"/>
    </row>
    <row r="4" spans="1:53" ht="16.5" customHeight="1" thickBot="1">
      <c r="A4" s="221"/>
      <c r="B4" s="222"/>
      <c r="C4" s="217"/>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9"/>
      <c r="AX4" s="208"/>
      <c r="AY4" s="209"/>
      <c r="AZ4" s="212"/>
      <c r="BA4" s="213"/>
    </row>
    <row r="5" spans="1:53" ht="20.45" customHeight="1">
      <c r="A5" s="221"/>
      <c r="B5" s="222"/>
      <c r="C5" s="214" t="s">
        <v>13</v>
      </c>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6"/>
      <c r="AX5" s="206" t="s">
        <v>14</v>
      </c>
      <c r="AY5" s="207"/>
      <c r="AZ5" s="206" t="s">
        <v>179</v>
      </c>
      <c r="BA5" s="207"/>
    </row>
    <row r="6" spans="1:53" ht="15" customHeight="1" thickBot="1">
      <c r="A6" s="221"/>
      <c r="B6" s="222"/>
      <c r="C6" s="214"/>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6"/>
      <c r="AX6" s="208"/>
      <c r="AY6" s="209"/>
      <c r="AZ6" s="208"/>
      <c r="BA6" s="209"/>
    </row>
    <row r="7" spans="1:53" ht="15.75" customHeight="1">
      <c r="A7" s="221"/>
      <c r="B7" s="222"/>
      <c r="C7" s="214"/>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6"/>
      <c r="AX7" s="206" t="s">
        <v>16</v>
      </c>
      <c r="AY7" s="207"/>
      <c r="AZ7" s="220">
        <v>45828</v>
      </c>
      <c r="BA7" s="203"/>
    </row>
    <row r="8" spans="1:53" ht="16.5" customHeight="1" thickBot="1">
      <c r="A8" s="208"/>
      <c r="B8" s="209"/>
      <c r="C8" s="217"/>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9"/>
      <c r="AX8" s="208"/>
      <c r="AY8" s="209"/>
      <c r="AZ8" s="204"/>
      <c r="BA8" s="205"/>
    </row>
    <row r="10" spans="1:53" ht="54" customHeight="1">
      <c r="A10" s="195" t="s">
        <v>17</v>
      </c>
      <c r="B10" s="195"/>
      <c r="C10" s="195"/>
      <c r="D10" s="226" t="s">
        <v>18</v>
      </c>
      <c r="E10" s="227"/>
      <c r="F10" s="227"/>
      <c r="G10" s="227"/>
      <c r="H10" s="227"/>
      <c r="I10" s="227"/>
      <c r="J10" s="227"/>
      <c r="K10" s="227"/>
      <c r="L10" s="227"/>
      <c r="M10" s="228"/>
      <c r="N10" s="12"/>
      <c r="AN10" s="1"/>
      <c r="AO10" s="1"/>
      <c r="AP10" s="1"/>
    </row>
    <row r="11" spans="1:53" s="3" customFormat="1" ht="75" customHeight="1">
      <c r="A11" s="195" t="s">
        <v>19</v>
      </c>
      <c r="B11" s="195"/>
      <c r="C11" s="195"/>
      <c r="D11" s="198" t="s">
        <v>20</v>
      </c>
      <c r="E11" s="199"/>
      <c r="F11" s="199"/>
      <c r="G11" s="199"/>
      <c r="H11" s="199"/>
      <c r="I11" s="199"/>
      <c r="J11" s="199"/>
      <c r="K11" s="199"/>
      <c r="L11" s="199"/>
      <c r="M11" s="200"/>
      <c r="N11" s="1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95" t="s">
        <v>21</v>
      </c>
      <c r="B12" s="195"/>
      <c r="C12" s="195"/>
      <c r="D12" s="198" t="s">
        <v>22</v>
      </c>
      <c r="E12" s="199"/>
      <c r="F12" s="199"/>
      <c r="G12" s="199"/>
      <c r="H12" s="199"/>
      <c r="I12" s="199"/>
      <c r="J12" s="199"/>
      <c r="K12" s="199"/>
      <c r="L12" s="199"/>
      <c r="M12" s="200"/>
      <c r="N12" s="1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6"/>
      <c r="B13" s="6"/>
      <c r="C13" s="6"/>
      <c r="D13" s="6"/>
      <c r="E13" s="6"/>
      <c r="F13" s="6"/>
      <c r="G13" s="6"/>
      <c r="H13" s="6"/>
      <c r="I13" s="6"/>
      <c r="J13" s="6"/>
      <c r="K13" s="6"/>
      <c r="L13" s="6"/>
      <c r="M13" s="6"/>
      <c r="N13" s="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01" t="s">
        <v>23</v>
      </c>
      <c r="B14" s="201"/>
      <c r="C14" s="201"/>
      <c r="D14" s="201"/>
      <c r="E14" s="201"/>
      <c r="F14" s="201"/>
      <c r="G14" s="201"/>
      <c r="H14" s="201"/>
      <c r="I14" s="201"/>
      <c r="J14" s="201"/>
      <c r="K14" s="201"/>
      <c r="L14" s="201"/>
      <c r="M14" s="201"/>
      <c r="N14" s="201"/>
      <c r="O14" s="201"/>
      <c r="P14" s="121"/>
      <c r="Q14" s="196" t="s">
        <v>24</v>
      </c>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21"/>
      <c r="AP14" s="195" t="s">
        <v>25</v>
      </c>
      <c r="AQ14" s="195"/>
      <c r="AR14" s="195"/>
      <c r="AS14" s="122"/>
      <c r="AT14" s="195" t="s">
        <v>26</v>
      </c>
      <c r="AU14" s="195"/>
      <c r="AV14" s="195"/>
      <c r="AW14" s="195"/>
      <c r="AX14" s="195"/>
      <c r="AY14" s="123"/>
      <c r="AZ14" s="195" t="s">
        <v>27</v>
      </c>
      <c r="BA14" s="195"/>
    </row>
    <row r="15" spans="1:53">
      <c r="A15" s="201"/>
      <c r="B15" s="201"/>
      <c r="C15" s="201"/>
      <c r="D15" s="201"/>
      <c r="E15" s="201"/>
      <c r="F15" s="201"/>
      <c r="G15" s="201"/>
      <c r="H15" s="201"/>
      <c r="I15" s="201"/>
      <c r="J15" s="201"/>
      <c r="K15" s="201"/>
      <c r="L15" s="201"/>
      <c r="M15" s="201"/>
      <c r="N15" s="201"/>
      <c r="O15" s="201"/>
      <c r="P15" s="121"/>
      <c r="Q15" s="124"/>
      <c r="R15" s="124"/>
      <c r="S15" s="124"/>
      <c r="T15" s="124"/>
      <c r="U15" s="124"/>
      <c r="V15" s="124"/>
      <c r="W15" s="124"/>
      <c r="X15" s="124"/>
      <c r="Y15" s="196" t="s">
        <v>28</v>
      </c>
      <c r="Z15" s="196"/>
      <c r="AA15" s="196"/>
      <c r="AB15" s="196" t="s">
        <v>29</v>
      </c>
      <c r="AC15" s="196"/>
      <c r="AD15" s="196"/>
      <c r="AE15" s="196"/>
      <c r="AF15" s="196"/>
      <c r="AG15" s="197"/>
      <c r="AH15" s="197"/>
      <c r="AI15" s="197"/>
      <c r="AJ15" s="197"/>
      <c r="AK15" s="197"/>
      <c r="AL15" s="197"/>
      <c r="AM15" s="197"/>
      <c r="AN15" s="197"/>
      <c r="AO15" s="121"/>
      <c r="AP15" s="195"/>
      <c r="AQ15" s="195"/>
      <c r="AR15" s="195"/>
      <c r="AS15" s="125"/>
      <c r="AT15" s="195"/>
      <c r="AU15" s="195"/>
      <c r="AV15" s="195"/>
      <c r="AW15" s="195"/>
      <c r="AX15" s="195"/>
      <c r="AY15" s="123"/>
      <c r="AZ15" s="195"/>
      <c r="BA15" s="195"/>
    </row>
    <row r="16" spans="1:53" s="5" customFormat="1" ht="166.5" customHeight="1">
      <c r="A16" s="126" t="s">
        <v>30</v>
      </c>
      <c r="B16" s="127" t="s">
        <v>31</v>
      </c>
      <c r="C16" s="128" t="s">
        <v>32</v>
      </c>
      <c r="D16" s="128" t="s">
        <v>33</v>
      </c>
      <c r="E16" s="129" t="s">
        <v>34</v>
      </c>
      <c r="F16" s="130" t="s">
        <v>35</v>
      </c>
      <c r="G16" s="131" t="s">
        <v>36</v>
      </c>
      <c r="H16" s="129" t="s">
        <v>37</v>
      </c>
      <c r="I16" s="128" t="s">
        <v>38</v>
      </c>
      <c r="J16" s="128" t="s">
        <v>39</v>
      </c>
      <c r="K16" s="129" t="s">
        <v>40</v>
      </c>
      <c r="L16" s="129" t="s">
        <v>41</v>
      </c>
      <c r="M16" s="128" t="s">
        <v>38</v>
      </c>
      <c r="N16" s="128" t="s">
        <v>42</v>
      </c>
      <c r="O16" s="132" t="s">
        <v>43</v>
      </c>
      <c r="P16" s="121"/>
      <c r="Q16" s="133" t="s">
        <v>44</v>
      </c>
      <c r="R16" s="83" t="s">
        <v>45</v>
      </c>
      <c r="S16" s="83" t="s">
        <v>46</v>
      </c>
      <c r="T16" s="83" t="s">
        <v>47</v>
      </c>
      <c r="U16" s="83" t="s">
        <v>48</v>
      </c>
      <c r="V16" s="83" t="s">
        <v>49</v>
      </c>
      <c r="W16" s="83" t="s">
        <v>50</v>
      </c>
      <c r="X16" s="120" t="s">
        <v>51</v>
      </c>
      <c r="Y16" s="133" t="s">
        <v>52</v>
      </c>
      <c r="Z16" s="133" t="s">
        <v>53</v>
      </c>
      <c r="AA16" s="133" t="s">
        <v>54</v>
      </c>
      <c r="AB16" s="190" t="s">
        <v>55</v>
      </c>
      <c r="AC16" s="191"/>
      <c r="AD16" s="133" t="s">
        <v>56</v>
      </c>
      <c r="AE16" s="190" t="s">
        <v>57</v>
      </c>
      <c r="AF16" s="191"/>
      <c r="AG16" s="132" t="s">
        <v>58</v>
      </c>
      <c r="AH16" s="132" t="s">
        <v>59</v>
      </c>
      <c r="AI16" s="132" t="s">
        <v>38</v>
      </c>
      <c r="AJ16" s="132" t="s">
        <v>60</v>
      </c>
      <c r="AK16" s="132" t="s">
        <v>38</v>
      </c>
      <c r="AL16" s="132" t="s">
        <v>42</v>
      </c>
      <c r="AM16" s="132" t="s">
        <v>61</v>
      </c>
      <c r="AN16" s="132" t="s">
        <v>62</v>
      </c>
      <c r="AO16" s="121"/>
      <c r="AP16" s="134" t="s">
        <v>63</v>
      </c>
      <c r="AQ16" s="134" t="s">
        <v>64</v>
      </c>
      <c r="AR16" s="83" t="s">
        <v>65</v>
      </c>
      <c r="AS16" s="135"/>
      <c r="AT16" s="136" t="s">
        <v>66</v>
      </c>
      <c r="AU16" s="136" t="s">
        <v>67</v>
      </c>
      <c r="AV16" s="136" t="s">
        <v>68</v>
      </c>
      <c r="AW16" s="136" t="s">
        <v>69</v>
      </c>
      <c r="AX16" s="136" t="s">
        <v>70</v>
      </c>
      <c r="AY16" s="137"/>
      <c r="AZ16" s="136" t="s">
        <v>71</v>
      </c>
      <c r="BA16" s="136" t="s">
        <v>72</v>
      </c>
    </row>
    <row r="17" spans="1:53" ht="267.95" customHeight="1">
      <c r="A17" s="192">
        <v>3</v>
      </c>
      <c r="B17" s="193" t="s">
        <v>73</v>
      </c>
      <c r="C17" s="194" t="s">
        <v>74</v>
      </c>
      <c r="D17" s="194" t="s">
        <v>180</v>
      </c>
      <c r="E17" s="194" t="s">
        <v>181</v>
      </c>
      <c r="F17" s="194"/>
      <c r="G17" s="192">
        <v>9</v>
      </c>
      <c r="H17" s="186" t="str">
        <f>IF(G17&lt;=0,"",IF(G17&lt;=2,"Muy Baja",IF(G17&lt;=24,"Baja",IF(G17&lt;=500,"Media",IF(G17&lt;=5000,"Alta","Muy Alta")))))</f>
        <v>Baja</v>
      </c>
      <c r="I17" s="183">
        <f>IF(H17="","",IF(H17="Muy Baja",0.2,IF(H17="Baja",0.4,IF(H17="Media",0.6,IF(H17="Alta",0.8,IF(H17="Muy Alta",1,))))))</f>
        <v>0.4</v>
      </c>
      <c r="J17" s="184" t="s">
        <v>77</v>
      </c>
      <c r="K17" s="185" t="str">
        <f>+J17</f>
        <v xml:space="preserve">Afectación mayor a 3000 SMLMV </v>
      </c>
      <c r="L17" s="186" t="str">
        <f>+VLOOKUP(K17,Datos!$O$4:$P$15,2,FALSE)</f>
        <v>Catastrófico</v>
      </c>
      <c r="M17" s="183">
        <f>IF(L17="","",IF(L17="Leve",0.2,IF(L17="Menor",0.4,IF(L17="Moderado",0.6,IF(L17="Mayor",0.8,IF(L17="Catastrófico",1,))))))</f>
        <v>1</v>
      </c>
      <c r="N17" s="183" t="str">
        <f>+CONCATENATE(H17, " - ", L17)</f>
        <v>Baja - Catastrófico</v>
      </c>
      <c r="O17" s="178" t="str">
        <f>+VLOOKUP(N17,Datos!J4:K28,2,)</f>
        <v>EXTREMO</v>
      </c>
      <c r="P17" s="121"/>
      <c r="Q17" s="152">
        <v>1</v>
      </c>
      <c r="R17" s="153" t="s">
        <v>182</v>
      </c>
      <c r="S17" s="153" t="s">
        <v>109</v>
      </c>
      <c r="T17" s="153" t="s">
        <v>183</v>
      </c>
      <c r="U17" s="153" t="s">
        <v>184</v>
      </c>
      <c r="V17" s="153" t="s">
        <v>185</v>
      </c>
      <c r="W17" s="153" t="s">
        <v>186</v>
      </c>
      <c r="X17" s="138" t="str">
        <f>IF(OR(Y17="Preventivo",Y17="Detectivo"),"Probabilidad",IF(Y17="Correctivo","Impacto",""))</f>
        <v>Probabilidad</v>
      </c>
      <c r="Y17" s="139" t="s">
        <v>104</v>
      </c>
      <c r="Z17" s="139" t="s">
        <v>85</v>
      </c>
      <c r="AA17" s="140" t="str">
        <f t="shared" ref="AA17:AA20" si="0">IF(AND(Y17="Preventivo",Z17="Automático"),"50%",IF(AND(Y17="Preventivo",Z17="Manual"),"40%",IF(AND(Y17="Detectivo",Z17="Automático"),"40%",IF(AND(Y17="Detectivo",Z17="Manual"),"30%",IF(AND(Y17="Correctivo",Z17="Automático"),"35%",IF(AND(Y17="Correctivo",Z17="Manual"),"25%",""))))))</f>
        <v>40%</v>
      </c>
      <c r="AB17" s="7" t="s">
        <v>86</v>
      </c>
      <c r="AC17" s="141" t="s">
        <v>187</v>
      </c>
      <c r="AD17" s="139" t="s">
        <v>88</v>
      </c>
      <c r="AE17" s="7" t="s">
        <v>89</v>
      </c>
      <c r="AF17" s="7" t="str">
        <f>+W17</f>
        <v>A-GOD-FT-004 ACTA /  A-GDH-FT-010 
REGISTRO DE ASISTENCIA COMITÉ, JUNTA, REUNION 
Correos electrónicos ( Cuando aplique)</v>
      </c>
      <c r="AG17" s="142">
        <f>IFERROR(IF(X17="Probabilidad",(I17-(+I17*AA17)),IF(X17="Impacto",I17,"")),"")</f>
        <v>0.24</v>
      </c>
      <c r="AH17" s="143" t="str">
        <f t="shared" ref="AH17:AH20" si="1">IFERROR(IF(AG17="","",IF(AG17&lt;=0.2,"Muy Baja",IF(AG17&lt;=0.4,"Baja",IF(AG17&lt;=0.6,"Media",IF(AG17&lt;=0.8,"Alta","Muy Alta"))))),"")</f>
        <v>Baja</v>
      </c>
      <c r="AI17" s="15">
        <f>I17-(AA17*I17)</f>
        <v>0.24</v>
      </c>
      <c r="AJ17" s="144" t="str">
        <f t="shared" ref="AJ17:AJ20" si="2">IFERROR(IF(AK17="","",IF(AK17&lt;=0.2,"Leve",IF(AK17&lt;=0.4,"Menor",IF(AK17&lt;=0.6,"Moderado",IF(AK17&lt;=0.8,"Mayor","Catastrófico"))))),"")</f>
        <v>Catastrófico</v>
      </c>
      <c r="AK17" s="142">
        <f>IFERROR(IF(X17="Impacto",(M17-(+M17*AA17)),IF(X17="Probabilidad",M17,"")),"")</f>
        <v>1</v>
      </c>
      <c r="AL17" s="145" t="str">
        <f>+CONCATENATE(AH17, " - ", AJ17)</f>
        <v>Baja - Catastrófico</v>
      </c>
      <c r="AM17" s="146" t="str">
        <f>+VLOOKUP(AL17,Datos!$J$4:$K$28,2,)</f>
        <v>EXTREMO</v>
      </c>
      <c r="AN17" s="179" t="s">
        <v>90</v>
      </c>
      <c r="AO17" s="121"/>
      <c r="AP17" s="180" t="s">
        <v>188</v>
      </c>
      <c r="AQ17" s="180" t="s">
        <v>164</v>
      </c>
      <c r="AR17" s="181">
        <v>46387</v>
      </c>
      <c r="AS17" s="125"/>
      <c r="AT17" s="165">
        <v>46156</v>
      </c>
      <c r="AU17" s="166" t="s">
        <v>189</v>
      </c>
      <c r="AV17" s="182" t="s">
        <v>166</v>
      </c>
      <c r="AW17" s="187" t="s">
        <v>95</v>
      </c>
      <c r="AX17" s="174" t="s">
        <v>95</v>
      </c>
      <c r="AY17" s="137"/>
      <c r="AZ17" s="167" t="s">
        <v>190</v>
      </c>
      <c r="BA17" s="175" t="s">
        <v>191</v>
      </c>
    </row>
    <row r="18" spans="1:53" ht="219" customHeight="1">
      <c r="A18" s="192"/>
      <c r="B18" s="193"/>
      <c r="C18" s="194"/>
      <c r="D18" s="194"/>
      <c r="E18" s="194"/>
      <c r="F18" s="194"/>
      <c r="G18" s="192"/>
      <c r="H18" s="186"/>
      <c r="I18" s="183"/>
      <c r="J18" s="184"/>
      <c r="K18" s="185"/>
      <c r="L18" s="186"/>
      <c r="M18" s="183"/>
      <c r="N18" s="183"/>
      <c r="O18" s="178"/>
      <c r="P18" s="121"/>
      <c r="Q18" s="152">
        <v>2</v>
      </c>
      <c r="R18" s="153" t="s">
        <v>192</v>
      </c>
      <c r="S18" s="153" t="s">
        <v>193</v>
      </c>
      <c r="T18" s="153" t="s">
        <v>194</v>
      </c>
      <c r="U18" s="153" t="s">
        <v>195</v>
      </c>
      <c r="V18" s="153" t="s">
        <v>196</v>
      </c>
      <c r="W18" s="153" t="s">
        <v>197</v>
      </c>
      <c r="X18" s="138" t="str">
        <f t="shared" ref="X18:X20" si="3">IF(OR(Y18="Preventivo",Y18="Detectivo"),"Probabilidad",IF(Y18="Correctivo","Impacto",""))</f>
        <v>Probabilidad</v>
      </c>
      <c r="Y18" s="139" t="s">
        <v>104</v>
      </c>
      <c r="Z18" s="139" t="s">
        <v>85</v>
      </c>
      <c r="AA18" s="140" t="str">
        <f t="shared" si="0"/>
        <v>40%</v>
      </c>
      <c r="AB18" s="7" t="s">
        <v>86</v>
      </c>
      <c r="AC18" s="7" t="s">
        <v>198</v>
      </c>
      <c r="AD18" s="139" t="s">
        <v>88</v>
      </c>
      <c r="AE18" s="7" t="s">
        <v>89</v>
      </c>
      <c r="AF18" s="7" t="str">
        <f>+W18</f>
        <v>Oficios y/o constancias de radicación del trámite del permiso</v>
      </c>
      <c r="AG18" s="15">
        <f>IFERROR(IF(AND(X17="Probabilidad",X18="Probabilidad"),(AI17-(+AI17*AA18)),IF(X18="Probabilidad",($I$17-(+$I$17*AA18)),IF(X18="Impacto",AI17,""))),"")</f>
        <v>0.14399999999999999</v>
      </c>
      <c r="AH18" s="143" t="str">
        <f t="shared" si="1"/>
        <v>Muy Baja</v>
      </c>
      <c r="AI18" s="15">
        <f t="shared" ref="AI18:AI20" si="4">+AG18</f>
        <v>0.14399999999999999</v>
      </c>
      <c r="AJ18" s="144" t="str">
        <f t="shared" si="2"/>
        <v>Catastrófico</v>
      </c>
      <c r="AK18" s="142">
        <f t="shared" ref="AK18" si="5">IFERROR(IF(AND(X17="Impacto",X17="Impacto"),(AK17-(+AK17*AA18)),IF(X18="Impacto",($M$17-(+$M$17*AA18)),IF(X18="Probabilidad",AK17,""))),"")</f>
        <v>1</v>
      </c>
      <c r="AL18" s="145" t="str">
        <f t="shared" ref="AL18:AL20" si="6">+CONCATENATE(AH18, " - ", AJ18)</f>
        <v>Muy Baja - Catastrófico</v>
      </c>
      <c r="AM18" s="146" t="str">
        <f>+VLOOKUP(AL18,Datos!$J$4:$K$28,2,)</f>
        <v>EXTREMO</v>
      </c>
      <c r="AN18" s="179"/>
      <c r="AO18" s="121"/>
      <c r="AP18" s="180"/>
      <c r="AQ18" s="180"/>
      <c r="AR18" s="181"/>
      <c r="AS18" s="125"/>
      <c r="AT18" s="165">
        <v>46156</v>
      </c>
      <c r="AU18" s="167" t="s">
        <v>199</v>
      </c>
      <c r="AV18" s="182"/>
      <c r="AW18" s="188"/>
      <c r="AX18" s="174"/>
      <c r="AY18" s="137"/>
      <c r="AZ18" s="167" t="s">
        <v>200</v>
      </c>
      <c r="BA18" s="176"/>
    </row>
    <row r="19" spans="1:53" ht="219" customHeight="1">
      <c r="A19" s="192"/>
      <c r="B19" s="193"/>
      <c r="C19" s="194"/>
      <c r="D19" s="194"/>
      <c r="E19" s="194"/>
      <c r="F19" s="194"/>
      <c r="G19" s="192"/>
      <c r="H19" s="186"/>
      <c r="I19" s="183"/>
      <c r="J19" s="184"/>
      <c r="K19" s="185"/>
      <c r="L19" s="186"/>
      <c r="M19" s="183"/>
      <c r="N19" s="183"/>
      <c r="O19" s="178"/>
      <c r="P19" s="121"/>
      <c r="Q19" s="105">
        <v>3</v>
      </c>
      <c r="R19" s="153" t="s">
        <v>201</v>
      </c>
      <c r="S19" s="153" t="s">
        <v>202</v>
      </c>
      <c r="T19" s="153" t="s">
        <v>203</v>
      </c>
      <c r="U19" s="153" t="s">
        <v>204</v>
      </c>
      <c r="V19" s="153" t="s">
        <v>205</v>
      </c>
      <c r="W19" s="153" t="s">
        <v>206</v>
      </c>
      <c r="X19" s="138" t="str">
        <f t="shared" si="3"/>
        <v>Probabilidad</v>
      </c>
      <c r="Y19" s="139" t="s">
        <v>104</v>
      </c>
      <c r="Z19" s="139" t="s">
        <v>85</v>
      </c>
      <c r="AA19" s="140" t="str">
        <f t="shared" si="0"/>
        <v>40%</v>
      </c>
      <c r="AB19" s="7" t="s">
        <v>86</v>
      </c>
      <c r="AC19" s="7" t="s">
        <v>207</v>
      </c>
      <c r="AD19" s="139" t="s">
        <v>88</v>
      </c>
      <c r="AE19" s="7" t="s">
        <v>89</v>
      </c>
      <c r="AF19" s="7" t="str">
        <f>+W19</f>
        <v>Contratos firmados
Oficios de solicitud de inicio del trámite ( Cuando aplique)</v>
      </c>
      <c r="AG19" s="15">
        <f>IFERROR(IF(AND(X18="Probabilidad",X19="Probabilidad"),(AI18-(+AI18*AA19)),IF(X19="Probabilidad",($I$17-(+$I$17*AA19)),IF(X19="Impacto",AI18,""))),"")</f>
        <v>8.6399999999999991E-2</v>
      </c>
      <c r="AH19" s="143" t="str">
        <f t="shared" si="1"/>
        <v>Muy Baja</v>
      </c>
      <c r="AI19" s="15">
        <f t="shared" si="4"/>
        <v>8.6399999999999991E-2</v>
      </c>
      <c r="AJ19" s="144" t="str">
        <f t="shared" si="2"/>
        <v>Catastrófico</v>
      </c>
      <c r="AK19" s="142">
        <f>IFERROR(IF(AND(X17="Impacto",X17="Impacto"),(AK17-(+AK17*AA19)),IF(X19="Impacto",($M$17-(+$M$17*AA19)),IF(X19="Probabilidad",AK17,""))),"")</f>
        <v>1</v>
      </c>
      <c r="AL19" s="145" t="str">
        <f t="shared" si="6"/>
        <v>Muy Baja - Catastrófico</v>
      </c>
      <c r="AM19" s="146" t="str">
        <f>+VLOOKUP(AL19,Datos!$J$4:$K$28,2,)</f>
        <v>EXTREMO</v>
      </c>
      <c r="AN19" s="179"/>
      <c r="AO19" s="121"/>
      <c r="AP19" s="180"/>
      <c r="AQ19" s="180"/>
      <c r="AR19" s="181"/>
      <c r="AS19" s="125"/>
      <c r="AT19" s="165">
        <v>46156</v>
      </c>
      <c r="AU19" s="166" t="s">
        <v>208</v>
      </c>
      <c r="AV19" s="182"/>
      <c r="AW19" s="188"/>
      <c r="AX19" s="174"/>
      <c r="AY19" s="137"/>
      <c r="AZ19" s="167" t="s">
        <v>209</v>
      </c>
      <c r="BA19" s="176"/>
    </row>
    <row r="20" spans="1:53" ht="231.95" customHeight="1">
      <c r="A20" s="192"/>
      <c r="B20" s="193"/>
      <c r="C20" s="194"/>
      <c r="D20" s="194"/>
      <c r="E20" s="194"/>
      <c r="F20" s="194"/>
      <c r="G20" s="192"/>
      <c r="H20" s="186"/>
      <c r="I20" s="183"/>
      <c r="J20" s="184"/>
      <c r="K20" s="185"/>
      <c r="L20" s="186"/>
      <c r="M20" s="183"/>
      <c r="N20" s="183"/>
      <c r="O20" s="178"/>
      <c r="P20" s="121"/>
      <c r="Q20" s="105">
        <v>4</v>
      </c>
      <c r="R20" s="153" t="s">
        <v>142</v>
      </c>
      <c r="S20" s="154" t="s">
        <v>210</v>
      </c>
      <c r="T20" s="155" t="s">
        <v>211</v>
      </c>
      <c r="U20" s="153" t="s">
        <v>145</v>
      </c>
      <c r="V20" s="153" t="s">
        <v>146</v>
      </c>
      <c r="W20" s="153" t="s">
        <v>212</v>
      </c>
      <c r="X20" s="138" t="str">
        <f t="shared" si="3"/>
        <v>Impacto</v>
      </c>
      <c r="Y20" s="139" t="s">
        <v>131</v>
      </c>
      <c r="Z20" s="139" t="s">
        <v>85</v>
      </c>
      <c r="AA20" s="140" t="str">
        <f t="shared" si="0"/>
        <v>25%</v>
      </c>
      <c r="AB20" s="7" t="s">
        <v>86</v>
      </c>
      <c r="AC20" s="141" t="s">
        <v>148</v>
      </c>
      <c r="AD20" s="139" t="s">
        <v>88</v>
      </c>
      <c r="AE20" s="7" t="s">
        <v>89</v>
      </c>
      <c r="AF20" s="7" t="str">
        <f>+W20</f>
        <v>Contratos de aprovechamiento y compensación forestal en los cuales se establece la constitución de pólizas de amparo / Pólizas de amparo 
Correo electrónico (Cuando aplique)</v>
      </c>
      <c r="AG20" s="15">
        <f t="shared" ref="AG20" si="7">IFERROR(IF(AND(X19="Probabilidad",X20="Probabilidad"),(AI19-(+AI19*AA20)),IF(X20="Probabilidad",($I$17-(+$I$17*AA20)),IF(X20="Impacto",AI19,""))),"")</f>
        <v>8.6399999999999991E-2</v>
      </c>
      <c r="AH20" s="143" t="str">
        <f t="shared" si="1"/>
        <v>Muy Baja</v>
      </c>
      <c r="AI20" s="15">
        <f t="shared" si="4"/>
        <v>8.6399999999999991E-2</v>
      </c>
      <c r="AJ20" s="144" t="str">
        <f t="shared" si="2"/>
        <v>Mayor</v>
      </c>
      <c r="AK20" s="142">
        <f t="shared" ref="AK20" si="8">IFERROR(IF(AND(X18="Impacto",X18="Impacto"),(AK18-(+AK18*AA20)),IF(X20="Impacto",($M$17-(+$M$17*AA20)),IF(X20="Probabilidad",AK18,""))),"")</f>
        <v>0.75</v>
      </c>
      <c r="AL20" s="145" t="str">
        <f t="shared" si="6"/>
        <v>Muy Baja - Mayor</v>
      </c>
      <c r="AM20" s="146" t="str">
        <f>+VLOOKUP(AL20,Datos!$J$4:$K$28,2,)</f>
        <v>ALTO</v>
      </c>
      <c r="AN20" s="179"/>
      <c r="AO20" s="121"/>
      <c r="AP20" s="180"/>
      <c r="AQ20" s="180"/>
      <c r="AR20" s="181"/>
      <c r="AS20" s="125"/>
      <c r="AT20" s="165">
        <v>46156</v>
      </c>
      <c r="AU20" s="166" t="s">
        <v>208</v>
      </c>
      <c r="AV20" s="182"/>
      <c r="AW20" s="189"/>
      <c r="AX20" s="174"/>
      <c r="AY20" s="137"/>
      <c r="AZ20" s="167" t="s">
        <v>209</v>
      </c>
      <c r="BA20" s="176"/>
    </row>
    <row r="21" spans="1:53" ht="93.75" customHeight="1">
      <c r="B21" s="148"/>
      <c r="C21" s="149"/>
      <c r="D21" s="149"/>
      <c r="E21" s="149"/>
      <c r="F21" s="149"/>
      <c r="G21" s="148"/>
      <c r="H21" s="148"/>
      <c r="I21" s="106"/>
      <c r="J21" s="150"/>
      <c r="K21" s="151"/>
      <c r="L21" s="148"/>
      <c r="M21" s="106"/>
      <c r="N21" s="106"/>
      <c r="O21" s="107"/>
      <c r="P21" s="2"/>
      <c r="Q21" s="93"/>
      <c r="R21" s="13"/>
      <c r="S21" s="13"/>
      <c r="T21" s="13"/>
      <c r="U21" s="13"/>
      <c r="V21" s="13"/>
      <c r="W21" s="13"/>
      <c r="X21" s="93"/>
      <c r="Y21" s="108"/>
      <c r="Z21" s="108"/>
      <c r="AA21" s="109"/>
      <c r="AB21" s="110"/>
      <c r="AC21" s="111"/>
      <c r="AD21" s="108"/>
      <c r="AE21" s="110"/>
      <c r="AF21" s="110"/>
      <c r="AG21" s="112"/>
      <c r="AH21" s="108"/>
      <c r="AI21" s="113"/>
      <c r="AJ21" s="114"/>
      <c r="AK21" s="112"/>
      <c r="AL21" s="115"/>
      <c r="AM21" s="116"/>
      <c r="AN21" s="117"/>
      <c r="AO21" s="2"/>
      <c r="AP21" s="118"/>
      <c r="AQ21" s="118"/>
      <c r="AR21" s="118"/>
      <c r="AT21" s="94"/>
      <c r="AU21" s="95"/>
      <c r="AV21" s="96"/>
      <c r="AW21" s="97"/>
      <c r="AX21" s="98"/>
      <c r="AY21" s="14"/>
      <c r="AZ21" s="96"/>
      <c r="BA21" s="99"/>
    </row>
    <row r="22" spans="1:53" ht="20.45">
      <c r="A22" s="177" t="s">
        <v>151</v>
      </c>
      <c r="B22" s="177"/>
      <c r="C22" s="177"/>
      <c r="D22" s="177"/>
      <c r="E22" s="177"/>
      <c r="F22" s="177"/>
      <c r="G22" s="177"/>
      <c r="H22" s="177"/>
      <c r="P22" s="2"/>
      <c r="BA22" s="92" t="s">
        <v>152</v>
      </c>
    </row>
    <row r="23" spans="1:53">
      <c r="P23" s="2"/>
    </row>
    <row r="24" spans="1:53">
      <c r="P24" s="2"/>
    </row>
    <row r="25" spans="1:53">
      <c r="P25" s="2"/>
    </row>
    <row r="26" spans="1:53">
      <c r="P26" s="2"/>
    </row>
    <row r="27" spans="1:53">
      <c r="P27" s="2"/>
    </row>
    <row r="28" spans="1:53">
      <c r="P28" s="2"/>
    </row>
    <row r="29" spans="1:53">
      <c r="P29" s="2"/>
    </row>
    <row r="30" spans="1:53" s="1" customFormat="1">
      <c r="A30"/>
      <c r="B30"/>
      <c r="C30"/>
      <c r="D30"/>
      <c r="E30"/>
      <c r="F30"/>
      <c r="G30"/>
      <c r="H30"/>
      <c r="I30"/>
      <c r="J30"/>
      <c r="K30"/>
      <c r="P30" s="2"/>
      <c r="AN30" s="4"/>
      <c r="AO30" s="4"/>
      <c r="AP30" s="4"/>
      <c r="AS30"/>
      <c r="AT30"/>
      <c r="AU30"/>
      <c r="AV30"/>
      <c r="AW30"/>
      <c r="AX30"/>
      <c r="AY30"/>
      <c r="AZ30"/>
      <c r="BA30"/>
    </row>
  </sheetData>
  <mergeCells count="51">
    <mergeCell ref="A1:B8"/>
    <mergeCell ref="C1:AW4"/>
    <mergeCell ref="AX1:AY2"/>
    <mergeCell ref="A10:C10"/>
    <mergeCell ref="D10:M10"/>
    <mergeCell ref="AZ1:BA2"/>
    <mergeCell ref="AX3:AY4"/>
    <mergeCell ref="AZ3:BA4"/>
    <mergeCell ref="C5:AW8"/>
    <mergeCell ref="AX5:AY6"/>
    <mergeCell ref="AZ5:BA6"/>
    <mergeCell ref="AX7:AY8"/>
    <mergeCell ref="AZ7:BA8"/>
    <mergeCell ref="A11:C11"/>
    <mergeCell ref="D11:M11"/>
    <mergeCell ref="A14:O15"/>
    <mergeCell ref="Q14:AN14"/>
    <mergeCell ref="AP14:AR15"/>
    <mergeCell ref="A12:C12"/>
    <mergeCell ref="D12:M12"/>
    <mergeCell ref="AT14:AX15"/>
    <mergeCell ref="AZ14:BA15"/>
    <mergeCell ref="Y15:AA15"/>
    <mergeCell ref="AB15:AF15"/>
    <mergeCell ref="AG15:AN15"/>
    <mergeCell ref="AB16:AC16"/>
    <mergeCell ref="AE16:AF16"/>
    <mergeCell ref="A17:A20"/>
    <mergeCell ref="B17:B20"/>
    <mergeCell ref="C17:C20"/>
    <mergeCell ref="D17:D20"/>
    <mergeCell ref="E17:E20"/>
    <mergeCell ref="F17:F20"/>
    <mergeCell ref="G17:G20"/>
    <mergeCell ref="H17:H20"/>
    <mergeCell ref="AX17:AX20"/>
    <mergeCell ref="BA17:BA20"/>
    <mergeCell ref="A22:H22"/>
    <mergeCell ref="O17:O20"/>
    <mergeCell ref="AN17:AN20"/>
    <mergeCell ref="AP17:AP20"/>
    <mergeCell ref="AQ17:AQ20"/>
    <mergeCell ref="AR17:AR20"/>
    <mergeCell ref="AV17:AV20"/>
    <mergeCell ref="I17:I20"/>
    <mergeCell ref="J17:J20"/>
    <mergeCell ref="K17:K20"/>
    <mergeCell ref="L17:L20"/>
    <mergeCell ref="M17:M20"/>
    <mergeCell ref="N17:N20"/>
    <mergeCell ref="AW17:AW20"/>
  </mergeCells>
  <conditionalFormatting sqref="H17:H21">
    <cfRule type="cellIs" dxfId="28" priority="34" operator="equal">
      <formula>"Muy Alta"</formula>
    </cfRule>
    <cfRule type="cellIs" dxfId="27" priority="35" operator="equal">
      <formula>"Alta"</formula>
    </cfRule>
    <cfRule type="cellIs" dxfId="26" priority="36" operator="equal">
      <formula>"Media"</formula>
    </cfRule>
    <cfRule type="cellIs" dxfId="25" priority="37" operator="equal">
      <formula>"Muy Baja"</formula>
    </cfRule>
    <cfRule type="cellIs" dxfId="24" priority="38" operator="equal">
      <formula>"Baja"</formula>
    </cfRule>
  </conditionalFormatting>
  <conditionalFormatting sqref="L17:L21">
    <cfRule type="cellIs" dxfId="23" priority="29" operator="equal">
      <formula>"Leve"</formula>
    </cfRule>
    <cfRule type="cellIs" dxfId="22" priority="30" operator="equal">
      <formula>"Catastrófico"</formula>
    </cfRule>
    <cfRule type="cellIs" dxfId="21" priority="31" operator="equal">
      <formula>"Mayor"</formula>
    </cfRule>
    <cfRule type="cellIs" dxfId="20" priority="32" operator="equal">
      <formula>"Moderado"</formula>
    </cfRule>
    <cfRule type="cellIs" dxfId="19" priority="33" operator="equal">
      <formula>"Menor"</formula>
    </cfRule>
  </conditionalFormatting>
  <conditionalFormatting sqref="O17:O21">
    <cfRule type="cellIs" dxfId="18" priority="25" operator="equal">
      <formula>"EXTREMO"</formula>
    </cfRule>
    <cfRule type="cellIs" dxfId="17" priority="26" operator="equal">
      <formula>"ALTO"</formula>
    </cfRule>
    <cfRule type="cellIs" dxfId="16" priority="27" operator="equal">
      <formula>"BAJO"</formula>
    </cfRule>
    <cfRule type="cellIs" dxfId="15" priority="28" operator="equal">
      <formula>"MODERADO"</formula>
    </cfRule>
  </conditionalFormatting>
  <conditionalFormatting sqref="AH17:AH21">
    <cfRule type="cellIs" dxfId="14" priority="6" operator="equal">
      <formula>"Muy Baja"</formula>
    </cfRule>
    <cfRule type="cellIs" dxfId="13" priority="7" operator="equal">
      <formula>"Baja"</formula>
    </cfRule>
    <cfRule type="cellIs" dxfId="12" priority="8" operator="equal">
      <formula>"Media"</formula>
    </cfRule>
    <cfRule type="cellIs" dxfId="11" priority="9" operator="equal">
      <formula>"Muy Alta"</formula>
    </cfRule>
    <cfRule type="cellIs" dxfId="10" priority="10" operator="equal">
      <formula>"Alta"</formula>
    </cfRule>
  </conditionalFormatting>
  <conditionalFormatting sqref="AJ17:AJ21">
    <cfRule type="cellIs" dxfId="9" priority="1" operator="equal">
      <formula>"Catastrófico"</formula>
    </cfRule>
    <cfRule type="cellIs" dxfId="8" priority="2" operator="equal">
      <formula>"Mayor"</formula>
    </cfRule>
    <cfRule type="cellIs" dxfId="7" priority="3" operator="equal">
      <formula>"Moderado"</formula>
    </cfRule>
    <cfRule type="cellIs" dxfId="6" priority="4" operator="equal">
      <formula>"Menor"</formula>
    </cfRule>
    <cfRule type="cellIs" dxfId="5" priority="5" operator="equal">
      <formula>"Leve"</formula>
    </cfRule>
  </conditionalFormatting>
  <conditionalFormatting sqref="AM17:AM21">
    <cfRule type="cellIs" dxfId="4" priority="11" operator="equal">
      <formula>"EXTREMO"</formula>
    </cfRule>
    <cfRule type="cellIs" dxfId="3" priority="12" operator="equal">
      <formula>"ALTO"</formula>
    </cfRule>
    <cfRule type="cellIs" dxfId="2" priority="13" operator="equal">
      <formula>"BAJO"</formula>
    </cfRule>
    <cfRule type="cellIs" dxfId="1" priority="14" operator="equal">
      <formula>"MODERADO"</formula>
    </cfRule>
  </conditionalFormatting>
  <hyperlinks>
    <hyperlink ref="A14:O15" location="Instructivo!A1" display="IDENTIFICACIÓN DEL RIESGO" xr:uid="{9818BCB8-FE6F-374D-8453-6C420D78818B}"/>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77F91737-3801-AA4F-9DFB-EB097BDCB22C}">
          <x14:formula1>
            <xm:f>Datos!$A$4:$A$6</xm:f>
          </x14:formula1>
          <xm:sqref>B17:B21</xm:sqref>
        </x14:dataValidation>
        <x14:dataValidation type="list" allowBlank="1" showInputMessage="1" showErrorMessage="1" xr:uid="{AAA2381F-CC1B-464C-9285-5F004C7FBA85}">
          <x14:formula1>
            <xm:f>Datos!$O$3:$O$15</xm:f>
          </x14:formula1>
          <xm:sqref>J17:J21</xm:sqref>
        </x14:dataValidation>
        <x14:dataValidation type="list" allowBlank="1" showInputMessage="1" showErrorMessage="1" xr:uid="{0D5D6D0F-5FA4-4148-A0AA-80B79CADF968}">
          <x14:formula1>
            <xm:f>Datos!$P$19:$P$22</xm:f>
          </x14:formula1>
          <xm:sqref>Y17:Y21</xm:sqref>
        </x14:dataValidation>
        <x14:dataValidation type="list" allowBlank="1" showInputMessage="1" showErrorMessage="1" xr:uid="{F5438AED-B200-FD41-AEB4-0F1D8EA12D6C}">
          <x14:formula1>
            <xm:f>Datos!$P$25:$P$26</xm:f>
          </x14:formula1>
          <xm:sqref>Z17:Z21</xm:sqref>
        </x14:dataValidation>
        <x14:dataValidation type="list" allowBlank="1" showInputMessage="1" showErrorMessage="1" xr:uid="{BB7A4591-0005-E140-A607-3DADFF257822}">
          <x14:formula1>
            <xm:f>Instructivo!$E$3:$E$9</xm:f>
          </x14:formula1>
          <xm:sqref>F17:F21</xm:sqref>
        </x14:dataValidation>
        <x14:dataValidation type="list" allowBlank="1" showInputMessage="1" showErrorMessage="1" xr:uid="{3FB1B21B-D801-9C4B-882F-4C64E867FC45}">
          <x14:formula1>
            <xm:f>Datos!$P$30:$P$31</xm:f>
          </x14:formula1>
          <xm:sqref>AB17:AB21</xm:sqref>
        </x14:dataValidation>
        <x14:dataValidation type="list" allowBlank="1" showInputMessage="1" showErrorMessage="1" xr:uid="{64CF3041-C745-6542-965C-9EC739C484D7}">
          <x14:formula1>
            <xm:f>Datos!$P$34:$P$35</xm:f>
          </x14:formula1>
          <xm:sqref>AD17:AD21</xm:sqref>
        </x14:dataValidation>
        <x14:dataValidation type="list" allowBlank="1" showInputMessage="1" showErrorMessage="1" xr:uid="{9C1C1622-3118-F242-9D7A-D36A083B7F89}">
          <x14:formula1>
            <xm:f>Datos!$P$38:$P$39</xm:f>
          </x14:formula1>
          <xm:sqref>AE17:AE21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F28" sqref="F28"/>
    </sheetView>
  </sheetViews>
  <sheetFormatPr defaultColWidth="11.42578125" defaultRowHeight="14.45"/>
  <cols>
    <col min="7" max="7" width="15" customWidth="1"/>
    <col min="10" max="10" width="33" customWidth="1"/>
    <col min="15" max="15" width="81.42578125" customWidth="1"/>
  </cols>
  <sheetData>
    <row r="3" spans="1:17">
      <c r="A3" s="9" t="s">
        <v>213</v>
      </c>
      <c r="D3" t="s">
        <v>214</v>
      </c>
      <c r="G3" t="s">
        <v>215</v>
      </c>
      <c r="J3" t="s">
        <v>216</v>
      </c>
      <c r="O3" t="s">
        <v>217</v>
      </c>
      <c r="P3" t="s">
        <v>215</v>
      </c>
    </row>
    <row r="4" spans="1:17">
      <c r="A4" t="s">
        <v>73</v>
      </c>
      <c r="D4" t="s">
        <v>218</v>
      </c>
      <c r="E4" s="8">
        <v>0.2</v>
      </c>
      <c r="G4" t="s">
        <v>219</v>
      </c>
      <c r="H4" s="8">
        <v>0.2</v>
      </c>
      <c r="J4" t="s">
        <v>220</v>
      </c>
      <c r="K4" t="s">
        <v>221</v>
      </c>
      <c r="O4" t="s">
        <v>222</v>
      </c>
      <c r="P4" s="3" t="s">
        <v>223</v>
      </c>
      <c r="Q4" s="11">
        <v>0.2</v>
      </c>
    </row>
    <row r="5" spans="1:17">
      <c r="A5" t="s">
        <v>224</v>
      </c>
      <c r="D5" t="s">
        <v>225</v>
      </c>
      <c r="E5" s="8">
        <v>0.4</v>
      </c>
      <c r="G5" t="s">
        <v>226</v>
      </c>
      <c r="H5" s="8">
        <v>0.4</v>
      </c>
      <c r="J5" t="s">
        <v>227</v>
      </c>
      <c r="K5" t="s">
        <v>221</v>
      </c>
      <c r="O5" s="10" t="s">
        <v>228</v>
      </c>
      <c r="P5" s="3" t="s">
        <v>229</v>
      </c>
      <c r="Q5" s="11">
        <v>0.4</v>
      </c>
    </row>
    <row r="6" spans="1:17">
      <c r="A6" t="s">
        <v>230</v>
      </c>
      <c r="D6" t="s">
        <v>231</v>
      </c>
      <c r="E6" s="8">
        <v>0.6</v>
      </c>
      <c r="G6" t="s">
        <v>232</v>
      </c>
      <c r="H6" s="8">
        <v>0.6</v>
      </c>
      <c r="J6" t="s">
        <v>233</v>
      </c>
      <c r="K6" t="s">
        <v>232</v>
      </c>
      <c r="O6" t="s">
        <v>234</v>
      </c>
      <c r="P6" s="3" t="s">
        <v>235</v>
      </c>
      <c r="Q6" s="11">
        <v>0.6</v>
      </c>
    </row>
    <row r="7" spans="1:17">
      <c r="D7" t="s">
        <v>236</v>
      </c>
      <c r="E7" s="8">
        <v>0.8</v>
      </c>
      <c r="G7" t="s">
        <v>237</v>
      </c>
      <c r="H7" s="8">
        <v>0.8</v>
      </c>
      <c r="J7" t="s">
        <v>238</v>
      </c>
      <c r="K7" t="s">
        <v>239</v>
      </c>
      <c r="O7" t="s">
        <v>240</v>
      </c>
      <c r="P7" s="3" t="s">
        <v>241</v>
      </c>
      <c r="Q7" s="11">
        <v>0.8</v>
      </c>
    </row>
    <row r="8" spans="1:17">
      <c r="D8" t="s">
        <v>242</v>
      </c>
      <c r="E8" s="8">
        <v>1</v>
      </c>
      <c r="G8" t="s">
        <v>243</v>
      </c>
      <c r="H8" s="8">
        <v>1</v>
      </c>
      <c r="J8" t="s">
        <v>244</v>
      </c>
      <c r="K8" t="s">
        <v>245</v>
      </c>
      <c r="O8" t="s">
        <v>77</v>
      </c>
      <c r="P8" s="3" t="s">
        <v>246</v>
      </c>
      <c r="Q8" s="11">
        <v>1</v>
      </c>
    </row>
    <row r="9" spans="1:17">
      <c r="J9" t="s">
        <v>247</v>
      </c>
      <c r="K9" t="s">
        <v>221</v>
      </c>
    </row>
    <row r="10" spans="1:17">
      <c r="J10" t="s">
        <v>248</v>
      </c>
      <c r="K10" t="s">
        <v>232</v>
      </c>
      <c r="O10" t="s">
        <v>249</v>
      </c>
    </row>
    <row r="11" spans="1:17">
      <c r="J11" t="s">
        <v>250</v>
      </c>
      <c r="K11" t="s">
        <v>232</v>
      </c>
      <c r="O11" t="s">
        <v>251</v>
      </c>
      <c r="P11" s="3" t="s">
        <v>223</v>
      </c>
      <c r="Q11" s="11">
        <v>0.2</v>
      </c>
    </row>
    <row r="12" spans="1:17" ht="30.75" customHeight="1">
      <c r="J12" t="s">
        <v>252</v>
      </c>
      <c r="K12" t="s">
        <v>239</v>
      </c>
      <c r="O12" s="10" t="s">
        <v>253</v>
      </c>
      <c r="P12" s="3" t="s">
        <v>229</v>
      </c>
      <c r="Q12" s="11">
        <v>0.4</v>
      </c>
    </row>
    <row r="13" spans="1:17" ht="28.9">
      <c r="J13" t="s">
        <v>254</v>
      </c>
      <c r="K13" t="s">
        <v>245</v>
      </c>
      <c r="O13" s="10" t="s">
        <v>255</v>
      </c>
      <c r="P13" s="3" t="s">
        <v>235</v>
      </c>
      <c r="Q13" s="11">
        <v>0.6</v>
      </c>
    </row>
    <row r="14" spans="1:17" ht="28.9">
      <c r="J14" t="s">
        <v>256</v>
      </c>
      <c r="K14" t="s">
        <v>232</v>
      </c>
      <c r="O14" s="10" t="s">
        <v>257</v>
      </c>
      <c r="P14" s="3" t="s">
        <v>241</v>
      </c>
      <c r="Q14" s="11">
        <v>0.8</v>
      </c>
    </row>
    <row r="15" spans="1:17" ht="28.9">
      <c r="J15" t="s">
        <v>258</v>
      </c>
      <c r="K15" t="s">
        <v>232</v>
      </c>
      <c r="O15" s="10" t="s">
        <v>259</v>
      </c>
      <c r="P15" s="3" t="s">
        <v>246</v>
      </c>
      <c r="Q15" s="11">
        <v>1</v>
      </c>
    </row>
    <row r="16" spans="1:17">
      <c r="J16" t="s">
        <v>260</v>
      </c>
      <c r="K16" t="s">
        <v>232</v>
      </c>
    </row>
    <row r="17" spans="10:17">
      <c r="J17" t="s">
        <v>261</v>
      </c>
      <c r="K17" t="s">
        <v>239</v>
      </c>
    </row>
    <row r="18" spans="10:17">
      <c r="J18" t="s">
        <v>262</v>
      </c>
      <c r="K18" t="s">
        <v>245</v>
      </c>
    </row>
    <row r="19" spans="10:17">
      <c r="J19" t="s">
        <v>263</v>
      </c>
      <c r="K19" t="s">
        <v>232</v>
      </c>
      <c r="P19" t="s">
        <v>264</v>
      </c>
    </row>
    <row r="20" spans="10:17">
      <c r="J20" t="s">
        <v>265</v>
      </c>
      <c r="K20" t="s">
        <v>232</v>
      </c>
      <c r="P20" t="s">
        <v>104</v>
      </c>
      <c r="Q20" s="8">
        <v>0.25</v>
      </c>
    </row>
    <row r="21" spans="10:17">
      <c r="J21" t="s">
        <v>266</v>
      </c>
      <c r="K21" t="s">
        <v>239</v>
      </c>
      <c r="P21" t="s">
        <v>84</v>
      </c>
      <c r="Q21" s="8">
        <v>0.15</v>
      </c>
    </row>
    <row r="22" spans="10:17">
      <c r="J22" t="s">
        <v>267</v>
      </c>
      <c r="K22" t="s">
        <v>239</v>
      </c>
      <c r="P22" t="s">
        <v>131</v>
      </c>
      <c r="Q22" s="8">
        <v>0.1</v>
      </c>
    </row>
    <row r="23" spans="10:17">
      <c r="J23" t="s">
        <v>268</v>
      </c>
      <c r="K23" t="s">
        <v>245</v>
      </c>
    </row>
    <row r="24" spans="10:17">
      <c r="J24" t="s">
        <v>269</v>
      </c>
      <c r="K24" t="s">
        <v>239</v>
      </c>
      <c r="P24" t="s">
        <v>270</v>
      </c>
    </row>
    <row r="25" spans="10:17">
      <c r="J25" t="s">
        <v>271</v>
      </c>
      <c r="K25" t="s">
        <v>239</v>
      </c>
      <c r="P25" t="s">
        <v>272</v>
      </c>
      <c r="Q25" s="8">
        <v>0.25</v>
      </c>
    </row>
    <row r="26" spans="10:17">
      <c r="J26" t="s">
        <v>273</v>
      </c>
      <c r="K26" t="s">
        <v>239</v>
      </c>
      <c r="P26" t="s">
        <v>85</v>
      </c>
      <c r="Q26" s="8">
        <v>0.15</v>
      </c>
    </row>
    <row r="27" spans="10:17">
      <c r="J27" t="s">
        <v>274</v>
      </c>
      <c r="K27" t="s">
        <v>239</v>
      </c>
    </row>
    <row r="28" spans="10:17">
      <c r="J28" t="s">
        <v>275</v>
      </c>
      <c r="K28" t="s">
        <v>245</v>
      </c>
    </row>
    <row r="29" spans="10:17">
      <c r="P29" t="s">
        <v>276</v>
      </c>
    </row>
    <row r="30" spans="10:17">
      <c r="P30" t="s">
        <v>86</v>
      </c>
    </row>
    <row r="31" spans="10:17">
      <c r="P31" t="s">
        <v>277</v>
      </c>
    </row>
    <row r="33" spans="16:16">
      <c r="P33" t="s">
        <v>278</v>
      </c>
    </row>
    <row r="34" spans="16:16">
      <c r="P34" t="s">
        <v>88</v>
      </c>
    </row>
    <row r="35" spans="16:16">
      <c r="P35" t="s">
        <v>279</v>
      </c>
    </row>
    <row r="37" spans="16:16">
      <c r="P37" t="s">
        <v>280</v>
      </c>
    </row>
    <row r="38" spans="16:16">
      <c r="P38" t="s">
        <v>89</v>
      </c>
    </row>
    <row r="39" spans="16:16">
      <c r="P39" t="s">
        <v>141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A80" zoomScale="80" zoomScaleNormal="80" workbookViewId="0">
      <selection activeCell="G40" sqref="G40"/>
    </sheetView>
  </sheetViews>
  <sheetFormatPr defaultColWidth="11.42578125" defaultRowHeight="14.45"/>
  <cols>
    <col min="2" max="2" width="15" customWidth="1"/>
    <col min="3" max="3" width="17.42578125" bestFit="1" customWidth="1"/>
    <col min="4" max="4" width="29.42578125" customWidth="1"/>
    <col min="5" max="5" width="31.5703125" customWidth="1"/>
    <col min="6" max="6" width="50" customWidth="1"/>
    <col min="7" max="7" width="16.42578125" customWidth="1"/>
    <col min="8" max="8" width="19" customWidth="1"/>
    <col min="9" max="9" width="19.5703125" customWidth="1"/>
    <col min="10" max="10" width="33.5703125" customWidth="1"/>
    <col min="11" max="11" width="38" customWidth="1"/>
    <col min="12" max="12" width="17" customWidth="1"/>
  </cols>
  <sheetData>
    <row r="2" spans="1:12">
      <c r="E2" s="47" t="s">
        <v>281</v>
      </c>
      <c r="F2" s="47" t="s">
        <v>282</v>
      </c>
    </row>
    <row r="3" spans="1:12" ht="43.15">
      <c r="E3" s="46" t="s">
        <v>283</v>
      </c>
      <c r="F3" s="45" t="s">
        <v>284</v>
      </c>
    </row>
    <row r="4" spans="1:12" ht="43.15">
      <c r="E4" s="46" t="s">
        <v>285</v>
      </c>
      <c r="F4" s="45" t="s">
        <v>286</v>
      </c>
    </row>
    <row r="5" spans="1:12" ht="144">
      <c r="E5" s="46" t="s">
        <v>287</v>
      </c>
      <c r="F5" s="45" t="s">
        <v>288</v>
      </c>
    </row>
    <row r="6" spans="1:12" ht="43.15">
      <c r="E6" s="46" t="s">
        <v>289</v>
      </c>
      <c r="F6" s="45" t="s">
        <v>290</v>
      </c>
    </row>
    <row r="7" spans="1:12" ht="72">
      <c r="E7" s="46" t="s">
        <v>291</v>
      </c>
      <c r="F7" s="45" t="s">
        <v>292</v>
      </c>
    </row>
    <row r="8" spans="1:12" ht="57.6">
      <c r="E8" s="46" t="s">
        <v>293</v>
      </c>
      <c r="F8" s="45" t="s">
        <v>294</v>
      </c>
    </row>
    <row r="9" spans="1:12" ht="72">
      <c r="E9" s="46" t="s">
        <v>295</v>
      </c>
      <c r="F9" s="45" t="s">
        <v>296</v>
      </c>
    </row>
    <row r="11" spans="1:12">
      <c r="B11" s="244" t="s">
        <v>297</v>
      </c>
      <c r="C11" s="244"/>
      <c r="D11" s="244"/>
      <c r="E11" s="244"/>
      <c r="F11" s="244"/>
      <c r="G11" s="244"/>
      <c r="H11" s="244"/>
      <c r="I11" s="244"/>
      <c r="J11" s="244"/>
      <c r="K11" s="244"/>
      <c r="L11" s="244"/>
    </row>
    <row r="12" spans="1:12">
      <c r="B12" s="244"/>
      <c r="C12" s="244"/>
      <c r="D12" s="244"/>
      <c r="E12" s="244"/>
      <c r="F12" s="244"/>
      <c r="G12" s="244"/>
      <c r="H12" s="244"/>
      <c r="I12" s="244"/>
      <c r="J12" s="244"/>
      <c r="K12" s="244"/>
      <c r="L12" s="244"/>
    </row>
    <row r="13" spans="1:12" ht="23.45">
      <c r="B13" s="245" t="s">
        <v>298</v>
      </c>
      <c r="C13" s="245"/>
      <c r="D13" s="245"/>
      <c r="E13" s="245"/>
      <c r="F13" s="245"/>
      <c r="G13" s="245"/>
      <c r="H13" s="245"/>
      <c r="I13" s="245"/>
      <c r="J13" s="245"/>
      <c r="K13" s="245"/>
      <c r="L13" s="245"/>
    </row>
    <row r="15" spans="1:12" ht="28.9">
      <c r="A15" s="16" t="s">
        <v>299</v>
      </c>
      <c r="B15" s="17">
        <v>1</v>
      </c>
      <c r="C15" s="246" t="s">
        <v>300</v>
      </c>
      <c r="D15" s="247"/>
      <c r="E15" s="247"/>
      <c r="F15" s="247"/>
      <c r="G15" s="247"/>
      <c r="H15" s="247"/>
      <c r="I15" s="247"/>
      <c r="J15" s="247"/>
      <c r="K15" s="247"/>
      <c r="L15" s="247"/>
    </row>
    <row r="16" spans="1:12" ht="18.600000000000001" thickBot="1">
      <c r="C16" s="248"/>
      <c r="D16" s="249"/>
      <c r="E16" s="249"/>
      <c r="F16" s="249"/>
      <c r="G16" s="249"/>
      <c r="H16" s="249"/>
      <c r="I16" s="249"/>
      <c r="J16" s="249"/>
      <c r="K16" s="249"/>
      <c r="L16" s="249"/>
    </row>
    <row r="17" spans="1:12" ht="18.600000000000001" thickBot="1">
      <c r="B17" s="250" t="s">
        <v>301</v>
      </c>
      <c r="C17" s="251"/>
      <c r="D17" s="251"/>
      <c r="E17" s="251"/>
      <c r="F17" s="252"/>
      <c r="G17" s="18"/>
      <c r="H17" s="250" t="s">
        <v>302</v>
      </c>
      <c r="I17" s="253"/>
      <c r="J17" s="253"/>
      <c r="K17" s="253"/>
      <c r="L17" s="254"/>
    </row>
    <row r="18" spans="1:12" ht="23.45">
      <c r="B18" s="19" t="s">
        <v>303</v>
      </c>
      <c r="C18" s="255" t="s">
        <v>56</v>
      </c>
      <c r="D18" s="256"/>
      <c r="E18" s="256"/>
      <c r="F18" s="257"/>
      <c r="G18" s="18"/>
      <c r="H18" s="19" t="s">
        <v>303</v>
      </c>
      <c r="I18" s="258" t="s">
        <v>56</v>
      </c>
      <c r="J18" s="258"/>
      <c r="K18" s="258"/>
      <c r="L18" s="259"/>
    </row>
    <row r="19" spans="1:12" ht="18">
      <c r="B19" s="20">
        <v>100</v>
      </c>
      <c r="C19" s="21" t="s">
        <v>242</v>
      </c>
      <c r="D19" s="260" t="s">
        <v>304</v>
      </c>
      <c r="E19" s="261"/>
      <c r="F19" s="262"/>
      <c r="G19" s="22"/>
      <c r="H19" s="20">
        <v>100</v>
      </c>
      <c r="I19" s="21" t="s">
        <v>305</v>
      </c>
      <c r="J19" s="260" t="s">
        <v>306</v>
      </c>
      <c r="K19" s="261"/>
      <c r="L19" s="262"/>
    </row>
    <row r="20" spans="1:12" ht="18">
      <c r="B20" s="20">
        <v>80</v>
      </c>
      <c r="C20" s="23" t="s">
        <v>236</v>
      </c>
      <c r="D20" s="263" t="s">
        <v>307</v>
      </c>
      <c r="E20" s="264"/>
      <c r="F20" s="265"/>
      <c r="G20" s="22"/>
      <c r="H20" s="20">
        <v>80</v>
      </c>
      <c r="I20" s="23" t="s">
        <v>308</v>
      </c>
      <c r="J20" s="263" t="s">
        <v>309</v>
      </c>
      <c r="K20" s="264"/>
      <c r="L20" s="265"/>
    </row>
    <row r="21" spans="1:12" ht="18">
      <c r="B21" s="20">
        <v>60</v>
      </c>
      <c r="C21" s="24" t="s">
        <v>231</v>
      </c>
      <c r="D21" s="263" t="s">
        <v>310</v>
      </c>
      <c r="E21" s="264"/>
      <c r="F21" s="265"/>
      <c r="G21" s="22"/>
      <c r="H21" s="20">
        <v>60</v>
      </c>
      <c r="I21" s="24" t="s">
        <v>311</v>
      </c>
      <c r="J21" s="263" t="s">
        <v>312</v>
      </c>
      <c r="K21" s="264"/>
      <c r="L21" s="265"/>
    </row>
    <row r="22" spans="1:12" ht="18">
      <c r="B22" s="20">
        <v>40</v>
      </c>
      <c r="C22" s="25" t="s">
        <v>225</v>
      </c>
      <c r="D22" s="263" t="s">
        <v>313</v>
      </c>
      <c r="E22" s="264"/>
      <c r="F22" s="265"/>
      <c r="G22" s="22"/>
      <c r="H22" s="20">
        <v>40</v>
      </c>
      <c r="I22" s="25" t="s">
        <v>314</v>
      </c>
      <c r="J22" s="263" t="s">
        <v>315</v>
      </c>
      <c r="K22" s="264"/>
      <c r="L22" s="265"/>
    </row>
    <row r="23" spans="1:12" ht="18.600000000000001" thickBot="1">
      <c r="B23" s="26">
        <v>20</v>
      </c>
      <c r="C23" s="27" t="s">
        <v>218</v>
      </c>
      <c r="D23" s="267" t="s">
        <v>316</v>
      </c>
      <c r="E23" s="268"/>
      <c r="F23" s="269"/>
      <c r="G23" s="22"/>
      <c r="H23" s="26">
        <v>20</v>
      </c>
      <c r="I23" s="27" t="s">
        <v>317</v>
      </c>
      <c r="J23" s="267" t="s">
        <v>318</v>
      </c>
      <c r="K23" s="268"/>
      <c r="L23" s="269"/>
    </row>
    <row r="24" spans="1:12">
      <c r="B24" s="18" t="s">
        <v>319</v>
      </c>
      <c r="C24" s="18"/>
      <c r="D24" s="18"/>
      <c r="E24" s="18"/>
      <c r="F24" s="18"/>
      <c r="G24" s="18"/>
      <c r="H24" s="18" t="s">
        <v>319</v>
      </c>
      <c r="I24" s="18"/>
      <c r="J24" s="18"/>
      <c r="K24" s="18"/>
      <c r="L24" s="18"/>
    </row>
    <row r="27" spans="1:12" ht="28.9">
      <c r="A27" s="16" t="s">
        <v>299</v>
      </c>
      <c r="B27" s="17">
        <v>2</v>
      </c>
      <c r="C27" s="246" t="s">
        <v>215</v>
      </c>
      <c r="D27" s="247"/>
      <c r="E27" s="247"/>
      <c r="F27" s="247"/>
      <c r="G27" s="247"/>
      <c r="H27" s="247"/>
      <c r="I27" s="247"/>
      <c r="J27" s="247"/>
      <c r="K27" s="247"/>
      <c r="L27" s="247"/>
    </row>
    <row r="28" spans="1:12">
      <c r="B28" s="18"/>
      <c r="C28" s="18"/>
      <c r="D28" s="18"/>
      <c r="E28" s="18"/>
      <c r="F28" s="18"/>
      <c r="G28" s="18"/>
      <c r="H28" s="18"/>
      <c r="I28" s="18"/>
      <c r="J28" s="18"/>
      <c r="K28" s="28"/>
      <c r="L28" s="28"/>
    </row>
    <row r="29" spans="1:12" ht="18">
      <c r="B29" s="270" t="s">
        <v>320</v>
      </c>
      <c r="C29" s="271"/>
      <c r="D29" s="271"/>
      <c r="E29" s="271"/>
      <c r="F29" s="271"/>
      <c r="G29" s="271"/>
      <c r="H29" s="271"/>
      <c r="I29" s="271"/>
      <c r="J29" s="271"/>
      <c r="K29" s="272"/>
      <c r="L29" s="28"/>
    </row>
    <row r="30" spans="1:12" ht="17.45">
      <c r="B30" s="273" t="s">
        <v>321</v>
      </c>
      <c r="C30" s="273"/>
      <c r="D30" s="273" t="s">
        <v>322</v>
      </c>
      <c r="E30" s="273"/>
      <c r="F30" s="273" t="s">
        <v>224</v>
      </c>
      <c r="G30" s="273"/>
      <c r="H30" s="273"/>
      <c r="I30" s="273"/>
      <c r="J30" s="273"/>
      <c r="K30" s="273"/>
    </row>
    <row r="31" spans="1:12" ht="18">
      <c r="B31" s="29">
        <v>100</v>
      </c>
      <c r="C31" s="30" t="s">
        <v>246</v>
      </c>
      <c r="D31" s="266" t="s">
        <v>323</v>
      </c>
      <c r="E31" s="266"/>
      <c r="F31" s="266" t="s">
        <v>259</v>
      </c>
      <c r="G31" s="266"/>
      <c r="H31" s="266"/>
      <c r="I31" s="266"/>
      <c r="J31" s="266"/>
      <c r="K31" s="266"/>
    </row>
    <row r="32" spans="1:12" ht="18">
      <c r="B32" s="29">
        <v>80</v>
      </c>
      <c r="C32" s="31" t="s">
        <v>241</v>
      </c>
      <c r="D32" s="266" t="s">
        <v>324</v>
      </c>
      <c r="E32" s="266"/>
      <c r="F32" s="266" t="s">
        <v>325</v>
      </c>
      <c r="G32" s="266"/>
      <c r="H32" s="266"/>
      <c r="I32" s="266"/>
      <c r="J32" s="266"/>
      <c r="K32" s="266"/>
    </row>
    <row r="33" spans="1:26" ht="18">
      <c r="B33" s="29">
        <v>60</v>
      </c>
      <c r="C33" s="32" t="s">
        <v>235</v>
      </c>
      <c r="D33" s="266" t="s">
        <v>326</v>
      </c>
      <c r="E33" s="266"/>
      <c r="F33" s="266" t="s">
        <v>327</v>
      </c>
      <c r="G33" s="266"/>
      <c r="H33" s="266"/>
      <c r="I33" s="266"/>
      <c r="J33" s="266"/>
      <c r="K33" s="266"/>
    </row>
    <row r="34" spans="1:26" ht="18">
      <c r="B34" s="29">
        <v>40</v>
      </c>
      <c r="C34" s="33" t="s">
        <v>229</v>
      </c>
      <c r="D34" s="266" t="s">
        <v>328</v>
      </c>
      <c r="E34" s="266"/>
      <c r="F34" s="266" t="s">
        <v>329</v>
      </c>
      <c r="G34" s="266"/>
      <c r="H34" s="266"/>
      <c r="I34" s="266"/>
      <c r="J34" s="266"/>
      <c r="K34" s="266"/>
    </row>
    <row r="35" spans="1:26" ht="18">
      <c r="B35" s="29">
        <v>20</v>
      </c>
      <c r="C35" s="34" t="s">
        <v>223</v>
      </c>
      <c r="D35" s="266" t="s">
        <v>330</v>
      </c>
      <c r="E35" s="266"/>
      <c r="F35" s="266" t="s">
        <v>251</v>
      </c>
      <c r="G35" s="266"/>
      <c r="H35" s="266"/>
      <c r="I35" s="266"/>
      <c r="J35" s="266"/>
      <c r="K35" s="266"/>
    </row>
    <row r="38" spans="1:26" ht="28.9">
      <c r="A38" s="16" t="s">
        <v>299</v>
      </c>
      <c r="B38" s="17"/>
      <c r="C38" s="248" t="s">
        <v>331</v>
      </c>
      <c r="D38" s="249"/>
      <c r="E38" s="249"/>
      <c r="F38" s="249"/>
      <c r="G38" s="249"/>
      <c r="H38" s="249"/>
      <c r="I38" s="249"/>
      <c r="J38" s="249"/>
      <c r="K38" s="249"/>
      <c r="L38" s="249"/>
      <c r="X38" s="5"/>
      <c r="Y38" s="35"/>
    </row>
    <row r="39" spans="1:26">
      <c r="X39" s="5"/>
      <c r="Y39" s="35"/>
    </row>
    <row r="40" spans="1:26" ht="151.15" thickBot="1">
      <c r="B40" s="36" t="s">
        <v>332</v>
      </c>
      <c r="C40" s="37" t="s">
        <v>333</v>
      </c>
      <c r="D40" s="37" t="s">
        <v>334</v>
      </c>
      <c r="E40" s="36" t="s">
        <v>335</v>
      </c>
      <c r="F40" s="36" t="s">
        <v>336</v>
      </c>
      <c r="G40" s="36" t="s">
        <v>337</v>
      </c>
      <c r="H40" s="36" t="s">
        <v>338</v>
      </c>
      <c r="I40" s="36" t="s">
        <v>339</v>
      </c>
      <c r="J40" s="36" t="s">
        <v>340</v>
      </c>
      <c r="K40" s="36" t="s">
        <v>341</v>
      </c>
      <c r="L40" s="36" t="s">
        <v>342</v>
      </c>
      <c r="M40" s="36" t="s">
        <v>343</v>
      </c>
      <c r="N40" s="36" t="s">
        <v>344</v>
      </c>
      <c r="O40" s="36" t="s">
        <v>345</v>
      </c>
      <c r="P40" s="36" t="s">
        <v>346</v>
      </c>
      <c r="Q40" s="36" t="s">
        <v>347</v>
      </c>
      <c r="R40" s="36" t="s">
        <v>348</v>
      </c>
      <c r="S40" s="36" t="s">
        <v>349</v>
      </c>
      <c r="T40" s="36" t="s">
        <v>350</v>
      </c>
      <c r="U40" s="36" t="s">
        <v>351</v>
      </c>
      <c r="V40" s="36" t="s">
        <v>352</v>
      </c>
      <c r="W40" s="36" t="s">
        <v>353</v>
      </c>
      <c r="X40" s="38" t="s">
        <v>354</v>
      </c>
      <c r="Y40" s="39" t="s">
        <v>355</v>
      </c>
      <c r="Z40" s="39" t="s">
        <v>355</v>
      </c>
    </row>
    <row r="41" spans="1:26" ht="15">
      <c r="B41" s="40"/>
      <c r="C41" s="41"/>
      <c r="D41" s="41"/>
      <c r="E41" s="40"/>
      <c r="F41" s="40"/>
      <c r="G41" s="40"/>
      <c r="H41" s="40"/>
      <c r="I41" s="40"/>
      <c r="J41" s="40"/>
      <c r="K41" s="40"/>
      <c r="L41" s="40"/>
      <c r="M41" s="40"/>
      <c r="N41" s="40"/>
      <c r="O41" s="40"/>
      <c r="P41" s="40"/>
      <c r="Q41" s="40"/>
      <c r="R41" s="40"/>
      <c r="S41" s="40"/>
      <c r="T41" s="40"/>
      <c r="U41" s="40"/>
      <c r="V41" s="40"/>
      <c r="W41" s="40"/>
      <c r="X41" s="42">
        <f>COUNTIF(E41:W41,"SI")</f>
        <v>0</v>
      </c>
      <c r="Y41" s="43" t="str">
        <f>IF(OR(T41="SI",X41&gt;11),"100",IF(X41&gt;5,"80",IF(X41&gt;0,"60","")))</f>
        <v/>
      </c>
      <c r="Z41" s="44" t="str">
        <f>IF(OR(T41="SI",X41&gt;11),"CATASTRÓFICO",IF(X41&gt;5,"MAYOR",IF(X41&gt;0,"MODERADO","")))</f>
        <v/>
      </c>
    </row>
    <row r="45" spans="1:26" ht="23.45">
      <c r="A45" s="274" t="s">
        <v>356</v>
      </c>
      <c r="B45" s="274"/>
      <c r="C45" s="274"/>
      <c r="D45" s="274"/>
      <c r="E45" s="274"/>
      <c r="F45" s="274"/>
      <c r="G45" s="274"/>
      <c r="H45" s="274"/>
      <c r="I45" s="274"/>
      <c r="J45" s="274"/>
    </row>
    <row r="46" spans="1:26">
      <c r="C46" s="9"/>
      <c r="D46" s="5"/>
      <c r="E46" s="5"/>
      <c r="F46" s="5"/>
      <c r="G46" s="5"/>
      <c r="H46" s="5"/>
    </row>
    <row r="47" spans="1:26" ht="15.6">
      <c r="B47" s="281" t="s">
        <v>300</v>
      </c>
      <c r="C47" s="57" t="s">
        <v>242</v>
      </c>
      <c r="D47" s="60"/>
      <c r="E47" s="71"/>
      <c r="F47" s="61"/>
      <c r="G47" s="71"/>
      <c r="H47" s="62"/>
      <c r="J47" s="277" t="s">
        <v>357</v>
      </c>
    </row>
    <row r="48" spans="1:26" ht="15.6">
      <c r="B48" s="281"/>
      <c r="C48" s="58">
        <v>1</v>
      </c>
      <c r="D48" s="63"/>
      <c r="E48" s="72"/>
      <c r="F48" s="56"/>
      <c r="G48" s="72"/>
      <c r="H48" s="64"/>
      <c r="J48" s="278"/>
    </row>
    <row r="49" spans="2:10" ht="15.6">
      <c r="B49" s="281"/>
      <c r="C49" s="57" t="s">
        <v>236</v>
      </c>
      <c r="D49" s="77"/>
      <c r="E49" s="78"/>
      <c r="F49" s="61"/>
      <c r="G49" s="71"/>
      <c r="H49" s="62"/>
      <c r="J49" s="282" t="s">
        <v>245</v>
      </c>
    </row>
    <row r="50" spans="2:10" ht="15.6">
      <c r="B50" s="281"/>
      <c r="C50" s="58">
        <v>0.8</v>
      </c>
      <c r="D50" s="79"/>
      <c r="E50" s="80"/>
      <c r="F50" s="69"/>
      <c r="G50" s="76"/>
      <c r="H50" s="70"/>
      <c r="J50" s="283"/>
    </row>
    <row r="51" spans="2:10" ht="15.6">
      <c r="B51" s="281"/>
      <c r="C51" s="57" t="s">
        <v>231</v>
      </c>
      <c r="D51" s="65"/>
      <c r="E51" s="73"/>
      <c r="F51" s="55"/>
      <c r="G51" s="72"/>
      <c r="H51" s="64"/>
      <c r="J51" s="284" t="s">
        <v>239</v>
      </c>
    </row>
    <row r="52" spans="2:10" ht="15.6">
      <c r="B52" s="281"/>
      <c r="C52" s="58">
        <v>0.6</v>
      </c>
      <c r="D52" s="65"/>
      <c r="E52" s="73"/>
      <c r="F52" s="55"/>
      <c r="G52" s="72"/>
      <c r="H52" s="64"/>
      <c r="J52" s="285"/>
    </row>
    <row r="53" spans="2:10" ht="15.6">
      <c r="B53" s="281"/>
      <c r="C53" s="57" t="s">
        <v>225</v>
      </c>
      <c r="D53" s="81"/>
      <c r="E53" s="78"/>
      <c r="F53" s="82"/>
      <c r="G53" s="71"/>
      <c r="H53" s="62"/>
      <c r="J53" s="286" t="s">
        <v>232</v>
      </c>
    </row>
    <row r="54" spans="2:10" ht="15.6">
      <c r="B54" s="281"/>
      <c r="C54" s="58">
        <v>0.4</v>
      </c>
      <c r="D54" s="67"/>
      <c r="E54" s="80"/>
      <c r="F54" s="68"/>
      <c r="G54" s="76"/>
      <c r="H54" s="70"/>
      <c r="J54" s="287"/>
    </row>
    <row r="55" spans="2:10" ht="15.6">
      <c r="B55" s="281"/>
      <c r="C55" s="59" t="s">
        <v>218</v>
      </c>
      <c r="D55" s="66"/>
      <c r="E55" s="74"/>
      <c r="F55" s="55"/>
      <c r="G55" s="72"/>
      <c r="H55" s="64"/>
      <c r="J55" s="275" t="s">
        <v>221</v>
      </c>
    </row>
    <row r="56" spans="2:10" ht="15.6">
      <c r="B56" s="281"/>
      <c r="C56" s="58">
        <v>0.2</v>
      </c>
      <c r="D56" s="67"/>
      <c r="E56" s="75"/>
      <c r="F56" s="68"/>
      <c r="G56" s="76"/>
      <c r="H56" s="70"/>
      <c r="J56" s="276"/>
    </row>
    <row r="57" spans="2:10" ht="17.45">
      <c r="D57" s="48" t="s">
        <v>223</v>
      </c>
      <c r="E57" s="52" t="s">
        <v>229</v>
      </c>
      <c r="F57" s="52" t="s">
        <v>235</v>
      </c>
      <c r="G57" s="54" t="s">
        <v>241</v>
      </c>
      <c r="H57" s="49" t="s">
        <v>246</v>
      </c>
    </row>
    <row r="58" spans="2:10">
      <c r="D58" s="50">
        <v>0.2</v>
      </c>
      <c r="E58" s="53">
        <v>0.4</v>
      </c>
      <c r="F58" s="53">
        <v>0.6</v>
      </c>
      <c r="G58" s="53">
        <v>0.8</v>
      </c>
      <c r="H58" s="51">
        <v>1</v>
      </c>
    </row>
    <row r="59" spans="2:10" ht="23.45">
      <c r="D59" s="288" t="s">
        <v>215</v>
      </c>
      <c r="E59" s="288"/>
      <c r="F59" s="288"/>
      <c r="G59" s="288"/>
      <c r="H59" s="288"/>
    </row>
    <row r="63" spans="2:10">
      <c r="D63" s="279" t="s">
        <v>358</v>
      </c>
      <c r="E63" s="279"/>
      <c r="F63" s="279"/>
    </row>
    <row r="64" spans="2:10">
      <c r="D64" s="85" t="s">
        <v>359</v>
      </c>
      <c r="E64" s="85" t="s">
        <v>360</v>
      </c>
      <c r="F64" s="85" t="s">
        <v>361</v>
      </c>
    </row>
    <row r="65" spans="4:6" ht="86.45">
      <c r="D65" s="84" t="s">
        <v>362</v>
      </c>
      <c r="E65" s="45" t="s">
        <v>363</v>
      </c>
      <c r="F65" s="45" t="s">
        <v>364</v>
      </c>
    </row>
    <row r="66" spans="4:6" ht="57.6">
      <c r="D66" s="84" t="s">
        <v>365</v>
      </c>
      <c r="E66" s="45" t="s">
        <v>366</v>
      </c>
      <c r="F66" s="84" t="s">
        <v>367</v>
      </c>
    </row>
    <row r="67" spans="4:6" ht="57.6">
      <c r="D67" s="84" t="s">
        <v>368</v>
      </c>
      <c r="E67" s="84" t="s">
        <v>369</v>
      </c>
      <c r="F67" s="84" t="s">
        <v>370</v>
      </c>
    </row>
    <row r="69" spans="4:6" ht="30" customHeight="1">
      <c r="D69" s="46" t="s">
        <v>371</v>
      </c>
      <c r="E69" s="280" t="s">
        <v>372</v>
      </c>
      <c r="F69" s="280"/>
    </row>
    <row r="70" spans="4:6" ht="30" customHeight="1">
      <c r="D70" s="46" t="s">
        <v>373</v>
      </c>
      <c r="E70" s="280" t="s">
        <v>374</v>
      </c>
      <c r="F70" s="280"/>
    </row>
    <row r="73" spans="4:6">
      <c r="E73" s="86" t="s">
        <v>357</v>
      </c>
      <c r="F73" s="86" t="s">
        <v>375</v>
      </c>
    </row>
    <row r="74" spans="4:6" ht="28.9">
      <c r="E74" s="87" t="s">
        <v>376</v>
      </c>
      <c r="F74" s="88" t="s">
        <v>377</v>
      </c>
    </row>
    <row r="75" spans="4:6" ht="28.9">
      <c r="E75" s="89" t="s">
        <v>378</v>
      </c>
      <c r="F75" s="88" t="s">
        <v>379</v>
      </c>
    </row>
    <row r="76" spans="4:6" ht="28.9">
      <c r="E76" s="90" t="s">
        <v>236</v>
      </c>
      <c r="F76" s="88" t="s">
        <v>379</v>
      </c>
    </row>
    <row r="77" spans="4:6" ht="28.9">
      <c r="E77" s="91" t="s">
        <v>380</v>
      </c>
      <c r="F77" s="88" t="s">
        <v>379</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5EE788-AF77-4788-A29D-CC8A54886EC3}"/>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Control Interno</cp:lastModifiedBy>
  <cp:revision/>
  <dcterms:created xsi:type="dcterms:W3CDTF">2021-05-10T15:52:34Z</dcterms:created>
  <dcterms:modified xsi:type="dcterms:W3CDTF">2026-05-30T01:33:02Z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