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de Gestión AÑO 2026\"/>
    </mc:Choice>
  </mc:AlternateContent>
  <xr:revisionPtr revIDLastSave="48" documentId="13_ncr:1_{A5947AD0-0AC5-4B01-8FD8-CD485FF13301}" xr6:coauthVersionLast="47" xr6:coauthVersionMax="47" xr10:uidLastSave="{4804E7FD-3F71-4669-A7F8-2E08F4A40C27}"/>
  <bookViews>
    <workbookView xWindow="-108" yWindow="-108" windowWidth="23256" windowHeight="12456" tabRatio="789" firstSheet="2" activeTab="2" xr2:uid="{00000000-000D-0000-FFFF-FFFF00000000}"/>
  </bookViews>
  <sheets>
    <sheet name="CONTROL DE CAMBIOS" sheetId="13" r:id="rId1"/>
    <sheet name="Riesgos Gestión #1" sheetId="10" r:id="rId2"/>
    <sheet name="Riesgos Gestión #2" sheetId="12" r:id="rId3"/>
    <sheet name="Datos" sheetId="5" r:id="rId4"/>
    <sheet name="Instructivo" sheetId="4" r:id="rId5"/>
  </sheets>
  <definedNames>
    <definedName name="_xlnm.Print_Area" localSheetId="1">'Riesgos Gestión #1'!$A$1:$BB$23</definedName>
    <definedName name="_xlnm.Print_Area" localSheetId="2">'Riesgos Gestión #2'!$A$1:$BB$22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8" i="12" l="1"/>
  <c r="AF17" i="12"/>
  <c r="AF20" i="12"/>
  <c r="AA20" i="12"/>
  <c r="X20" i="12"/>
  <c r="AF19" i="12"/>
  <c r="AA19" i="12"/>
  <c r="X19" i="12"/>
  <c r="AA18" i="12"/>
  <c r="X18" i="12"/>
  <c r="AA17" i="12"/>
  <c r="X17" i="12"/>
  <c r="K17" i="12"/>
  <c r="L17" i="12" s="1"/>
  <c r="M17" i="12" s="1"/>
  <c r="H17" i="12"/>
  <c r="AK17" i="12" l="1"/>
  <c r="AJ17" i="12" s="1"/>
  <c r="N17" i="12"/>
  <c r="O17" i="12" s="1"/>
  <c r="AK18" i="12"/>
  <c r="AJ18" i="12" s="1"/>
  <c r="I17" i="12"/>
  <c r="AI17" i="12" s="1"/>
  <c r="AG18" i="12" s="1"/>
  <c r="AI18" i="12" l="1"/>
  <c r="AG19" i="12" s="1"/>
  <c r="AH18" i="12"/>
  <c r="AL18" i="12" s="1"/>
  <c r="AM18" i="12" s="1"/>
  <c r="AK19" i="12"/>
  <c r="AG17" i="12"/>
  <c r="AH17" i="12" s="1"/>
  <c r="AL17" i="12" s="1"/>
  <c r="AM17" i="12" s="1"/>
  <c r="AJ19" i="12" l="1"/>
  <c r="AK20" i="12"/>
  <c r="AH19" i="12"/>
  <c r="AL19" i="12" s="1"/>
  <c r="AM19" i="12" s="1"/>
  <c r="AI19" i="12"/>
  <c r="AG20" i="12" s="1"/>
  <c r="AJ20" i="12" l="1"/>
  <c r="AI20" i="12"/>
  <c r="AH20" i="12"/>
  <c r="AL20" i="12" l="1"/>
  <c r="AM20" i="12" s="1"/>
  <c r="AF18" i="10" l="1"/>
  <c r="AF19" i="10"/>
  <c r="AF21" i="10"/>
  <c r="AF20" i="10"/>
  <c r="AA21" i="10"/>
  <c r="X21" i="10"/>
  <c r="AA20" i="10"/>
  <c r="X20" i="10"/>
  <c r="AA19" i="10"/>
  <c r="X19" i="10"/>
  <c r="AA18" i="10"/>
  <c r="X18" i="10"/>
  <c r="AA17" i="10"/>
  <c r="X17" i="10"/>
  <c r="K17" i="10"/>
  <c r="L17" i="10" s="1"/>
  <c r="H17" i="10"/>
  <c r="I17" i="10" s="1"/>
  <c r="AI17" i="10" l="1"/>
  <c r="AG18" i="10" s="1"/>
  <c r="M17" i="10"/>
  <c r="AK17" i="10" s="1"/>
  <c r="N17" i="10"/>
  <c r="O17" i="10" s="1"/>
  <c r="AG17" i="10"/>
  <c r="AH17" i="10" s="1"/>
  <c r="AJ17" i="10" l="1"/>
  <c r="AL17" i="10" s="1"/>
  <c r="AM17" i="10" s="1"/>
  <c r="AK18" i="10"/>
  <c r="AI18" i="10"/>
  <c r="AG19" i="10" s="1"/>
  <c r="AI19" i="10" s="1"/>
  <c r="AG20" i="10" s="1"/>
  <c r="AH18" i="10"/>
  <c r="AH19" i="10" l="1"/>
  <c r="AI20" i="10"/>
  <c r="AG21" i="10" s="1"/>
  <c r="AH20" i="10"/>
  <c r="AJ18" i="10"/>
  <c r="AL18" i="10" s="1"/>
  <c r="AM18" i="10" s="1"/>
  <c r="AK19" i="10"/>
  <c r="AI21" i="10" l="1"/>
  <c r="AH21" i="10"/>
  <c r="AJ19" i="10"/>
  <c r="AL19" i="10" s="1"/>
  <c r="AM19" i="10" s="1"/>
  <c r="AK20" i="10"/>
  <c r="AJ20" i="10" l="1"/>
  <c r="AL20" i="10" s="1"/>
  <c r="AM20" i="10" s="1"/>
  <c r="AK21" i="10"/>
  <c r="AJ21" i="10" l="1"/>
  <c r="AL21" i="10" s="1"/>
  <c r="AM21" i="10" s="1"/>
  <c r="X41" i="4" l="1"/>
  <c r="Z41" i="4" s="1"/>
  <c r="Y4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00000000-0006-0000-0000-000001000000}">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00000000-0006-0000-0100-000001000000}">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sharedStrings.xml><?xml version="1.0" encoding="utf-8"?>
<sst xmlns="http://schemas.openxmlformats.org/spreadsheetml/2006/main" count="549" uniqueCount="350">
  <si>
    <t>CONTROL DE CAMBIOS</t>
  </si>
  <si>
    <t>A continuación se presentan los cambios realizados de los riesgos en el p roceso</t>
  </si>
  <si>
    <t xml:space="preserve">FECHA </t>
  </si>
  <si>
    <t>CAMBIO REALIZADO</t>
  </si>
  <si>
    <r>
      <rPr>
        <b/>
        <sz val="11"/>
        <color theme="1"/>
        <rFont val="Calibri"/>
        <family val="2"/>
        <scheme val="minor"/>
      </rPr>
      <t xml:space="preserve">Riesgo #1: </t>
    </r>
    <r>
      <rPr>
        <sz val="11"/>
        <color theme="1"/>
        <rFont val="Calibri"/>
        <family val="2"/>
        <scheme val="minor"/>
      </rPr>
      <t>Se actualiza la fecha de implementación de la acción de fortalecimiento a 15/12/2026</t>
    </r>
  </si>
  <si>
    <r>
      <rPr>
        <b/>
        <sz val="11"/>
        <color theme="1"/>
        <rFont val="Calibri"/>
        <family val="2"/>
        <scheme val="minor"/>
      </rPr>
      <t xml:space="preserve">Riesgo #2: </t>
    </r>
    <r>
      <rPr>
        <sz val="11"/>
        <color theme="1"/>
        <rFont val="Calibri"/>
        <family val="2"/>
        <scheme val="minor"/>
      </rPr>
      <t>Se actualiza la fecha de implementación de la acción de fortalecimiento a 01/06/2026 al 15/12/2026</t>
    </r>
  </si>
  <si>
    <t>Se podrán incluir más filas de acuerdo a la cambios realizados</t>
  </si>
  <si>
    <t xml:space="preserve">DIRECCIONAMIENTO ESTRATÉGICO </t>
  </si>
  <si>
    <t>CÓDIGO</t>
  </si>
  <si>
    <t>E-DES-FT-015</t>
  </si>
  <si>
    <t>VERSIÓN</t>
  </si>
  <si>
    <t>11</t>
  </si>
  <si>
    <t>MAPA DE RIESGOS DE GESTIÓN Y RIESGOS FISCALES</t>
  </si>
  <si>
    <t>PÁGINA</t>
  </si>
  <si>
    <t>1 DE 2</t>
  </si>
  <si>
    <t>VIGENTE DESDE</t>
  </si>
  <si>
    <t>Proceso</t>
  </si>
  <si>
    <t>GESTION DE SERVICIOS ADMINISTRATIVOS</t>
  </si>
  <si>
    <t>Objetivo del Proceso</t>
  </si>
  <si>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</si>
  <si>
    <t>Alcance</t>
  </si>
  <si>
    <t>El proceso inicia desde la contratación de los servicios requeridos, los cuales son administrados y puestos a disposición de los diferentes procesos definidos por el IDIPRON para el cumplimiento de su misión, realizando periódicamente acciones de mantenimientos, seguridad y transporte y termina con la retroalimentación en la calidad de los servicios prestados.</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</si>
  <si>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</si>
  <si>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</si>
  <si>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</si>
  <si>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</si>
  <si>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</si>
  <si>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</si>
  <si>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</si>
  <si>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</si>
  <si>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</si>
  <si>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</si>
  <si>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</si>
  <si>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</si>
  <si>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</si>
  <si>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</si>
  <si>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</si>
  <si>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</si>
  <si>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</si>
  <si>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</si>
  <si>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</si>
  <si>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</si>
  <si>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</si>
  <si>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</si>
  <si>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</si>
  <si>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</si>
  <si>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</si>
  <si>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</si>
  <si>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</si>
  <si>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</si>
  <si>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</si>
  <si>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</si>
  <si>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</si>
  <si>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</si>
  <si>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</si>
  <si>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</si>
  <si>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</si>
  <si>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</si>
  <si>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</si>
  <si>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</si>
  <si>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</si>
  <si>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</si>
  <si>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</si>
  <si>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</si>
  <si>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</si>
  <si>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</si>
  <si>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</si>
  <si>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</si>
  <si>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</si>
  <si>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</si>
  <si>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</si>
  <si>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</si>
  <si>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</si>
  <si>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Perdidas de bienes, Multas,  Demandas.</t>
  </si>
  <si>
    <t>Incumplimiento de los lineamientos establecidos para el control de los servicios administrativos</t>
  </si>
  <si>
    <t>Posibilidad de afectación reputacional por perdida de bienes, multas o demandas contra la entidad debido a Incumplimiento de los lineamientos establecidos para el control de los servicios administrativos</t>
  </si>
  <si>
    <t>El riesgo afecta la imagen de algún área de la organización.</t>
  </si>
  <si>
    <t>Los/as vigilantes asignados/as a las sedes de la entidad</t>
  </si>
  <si>
    <t>Diariamente</t>
  </si>
  <si>
    <t>Verificar el ingreso y salida de bienes</t>
  </si>
  <si>
    <t xml:space="preserve">Se debe realizar revisión de los bolsos al personal que ingresa y se retira de las sedes de la entidad y se registra en el formato A-GAMB-FT-006 cuando exista el ingreso o el retiro de un bien. </t>
  </si>
  <si>
    <t xml:space="preserve">En caso de detectar la salida de un bien que no cuenta con la autorización requerida, solicita se realicen las gestiones necesarias para documentar la autorización de salida. </t>
  </si>
  <si>
    <t xml:space="preserve">Informe mensual de vigilancia y minuta </t>
  </si>
  <si>
    <t>Preventivo</t>
  </si>
  <si>
    <t>Manual</t>
  </si>
  <si>
    <t>Documentado</t>
  </si>
  <si>
    <t>Se encuentra documentado en el Protocolo de Seguridad para el Acceso A-GSA-DI-001</t>
  </si>
  <si>
    <t>Continua</t>
  </si>
  <si>
    <t>Con registro</t>
  </si>
  <si>
    <t>Formatos de salida de los bienes y/o Informe de Vigilancia</t>
  </si>
  <si>
    <t>REDUCIR EL RIESGO</t>
  </si>
  <si>
    <t>Realizar una (1) capacitación al personal del proceso con temas relacionados con los controels asociados al riesgo
EVIDENCIAS: Lista de asistencia / Presentación o evidencia fotográfica</t>
  </si>
  <si>
    <t xml:space="preserve">Gerente Administrativo
Funcionario/ contratista asignado del proceso
</t>
  </si>
  <si>
    <t xml:space="preserve">"Para el primer cuatrimestre del 2026 los vigilantes asignados a las sedes de la entidad verificaron diariamente el ingreso de elementos, los cuales son anotados en las minutas de seguridad escribiendo tipo de elemento, serial y/o número de placa de inventario, estas minutas se encuentran en cada una de las sedes y son verificadas por el supervisor, y dejando registro de las novedades en caso de ser encontradas".
Así mismo, se realiza la inspección a la salida de cada funcionario cuando portan bolsos y/o maletas.
</t>
  </si>
  <si>
    <t>N/A</t>
  </si>
  <si>
    <t>No se materializó el riesgo</t>
  </si>
  <si>
    <t>Se indica que del proceso de vigilancia no se tienen informes de vigilancia y las entradas y salidad de los meses de enero, esto debido a los problemas de cambio de personal</t>
  </si>
  <si>
    <t>De acuerdo con el la evidencia reportada por el porceso se observa que se cargaron las minutas de control de entradas y salidas de elementos, las minutas de control de minutas de control electronico y un correo electronico de novedades de vigilancia, pero no se evidencia el informe mensual de vigilancia. 
&amp;</t>
  </si>
  <si>
    <t>El/la funcionario/a o contratista del componente de transporte.</t>
  </si>
  <si>
    <t>Quincenalmente</t>
  </si>
  <si>
    <t>Revisar las bases de datos del SIMIT y movilidad.</t>
  </si>
  <si>
    <t xml:space="preserve">Para determinar la existencia de comparendos a cargo de la Entidad, se verifica a través de la página web de entidades encargadas de movilidad sobre la existencia de comparendos </t>
  </si>
  <si>
    <t>En caso de que se encuentren comparendos a cargos de la entidad, se informa el conductor responsable del vehículo para que realice las gestiones del pago.
Evidencia: Pantallazos de las validaciones, archivo Excel de seguimiento. Correo electrónico  (cuando aplique)</t>
  </si>
  <si>
    <t>Pantallazos de las validaciones, archivo Excel de seguimiento. Correo electrónico  (cuando aplique)</t>
  </si>
  <si>
    <t>Detectivo</t>
  </si>
  <si>
    <t>Se encuentra documentado en el instructivo Seguimiento a las Sanciones y Comparendos al Parque Automotor de la Entidad A-GSA-IN-003</t>
  </si>
  <si>
    <t>En el primer cuatrimestre del 2026 se realizó quincenalmente seguimiento y control a las infracciones de tránsito en las plataformas Runt y Movilidad Bogotá para verificar el estado de las infracciones por conductor y vehículo de la entidad, donde se evidencio un comparendo de Sergio Eduardo Jaimes con C.C 1023860981 impuesto el 26/02/2026 y de los vehículos; BJT201,  el cual ya se encuentran cancelado y el vehículo ock 311, se evidencia que el vehículo de placas OCK309 presenta dos comparendos en (SIMIT) y (SM) por foto detección, uno impuesto el 02/08/2025, el valor a pagar es de $ 604.100 y otro impuesto el 13/12/2025 por un valor de $ 604.100, se encuentra en validación con la secretaria d movilidad.  Se adjunta Archivo de control y seguimiento de comparendos, pagos y registro de los mismos en el RUNT, SIMIT y Secretaria de Movilidad de Bogotá.</t>
  </si>
  <si>
    <t>De acuerdo a la evidencia cargada, se observan las actas de comparendo, las bases de consulta de conductores, la base de consulta de vehículos  y el archivo de base de datos de condeuctores en Excel, correspondiente a los meses de enero a abril. 
&amp;</t>
  </si>
  <si>
    <t>Funcionario/a o contratista asignado</t>
  </si>
  <si>
    <t>Cada mes</t>
  </si>
  <si>
    <t>Verificar en el seguimiento mensual los reportes asociados a exceso de velocidad generados por los dispositivos GPS</t>
  </si>
  <si>
    <t>Los dispositivo GPS generan alerta cada vez que  se exceden los límites de velocidad establecido en la aplicación  que es monitoreada por el área de transporte . Por tal razón se revisan en el periodo definido generando el reporte de exceso de los límite de velocidad a cada uno de los conductores.</t>
  </si>
  <si>
    <t xml:space="preserve">Cuando en el informe quincenal se detecta que un conductor presentó exceso de velocidad durante un tiempo superior a cinco minutos, se informa al conductor responsable del vehículo para que cumpla con las normas de tránsito, </t>
  </si>
  <si>
    <t>Correo electrónico enviado a los conductores o en el Acta de Verificación de los excesos de los límites de velocidad.</t>
  </si>
  <si>
    <t>Automático</t>
  </si>
  <si>
    <t>A-GSA-DI-002 POLÍTICA DE SEGURIDAD, OPERACIÓN 
Y BUENAS PRÁCTICAS PARA LA 
GESTIÓN DEL TRANSPORTE</t>
  </si>
  <si>
    <t>Conforme a las alertas generadas en el tercer cuatrimestre por la plataforma de GPS, se evidenciaron algunos excesos de velocidad superiores a 5 minutos y se les informo verbalmente a los conductores que presentaron el respectivo exceso de velocidad con el fin que acaten las normas de tránsito.</t>
  </si>
  <si>
    <t>De acuerdo a la evidencia cargada por el proceso, se observa unas actas de Informe de seguimiento y/o advertencia a los conductores por exceso de velocidad., las cuales contienen los pantallazos de control de velocidad por placa vehicular, correspondientes a los meses de enero a abril. 
&amp;</t>
  </si>
  <si>
    <t>El/la funcionario/a  o contratista encargado/a del trámite de pago de servicios públicos.</t>
  </si>
  <si>
    <t>Mensualmente</t>
  </si>
  <si>
    <t>Verificar  las fechas oportunas y valores de pago de los servicios públicos y privados</t>
  </si>
  <si>
    <t>Se realiza la revisión del conglomerado de facturas de servicios privados y públicos de la sede del IDIPRON, registrando las fechas oportunas de pago y valor a pagar en el formato de trazabilidad de servicios públicos A-GSA-FT-014 y realiza el envío del formato a contabilidad para que se efectúe el pago respectivo.</t>
  </si>
  <si>
    <t>En el caso que se encuentren diferencias en la  información registrada, antes de  enviar a contabilidad, se realiza los ajustes correspondientes. Si la información fue remitida con errores a contabilidad, esta será devuelta para ajuste y posterior envío.</t>
  </si>
  <si>
    <t>Formato Conglomerado y trazabilidad  de servicios A-GSA-FT-014
Correo electrónico con solicitud de ajuste (Cuando aplique)</t>
  </si>
  <si>
    <t>Se encuentra documentado en el procedimiento Gestión, Control y Pago de Servicios Públicos y Provados e Impuestos A-GSA-PR-004</t>
  </si>
  <si>
    <t xml:space="preserve">
En el primer cuatrimestre el encargado de los servicios públicos mensualmente realiza el diligenciamiento del formato conglomerado y trazabilidad de servicios públicos A-GSA-FT-014 de los servicios públicos registrado fechas de pagos oportunos y fechas de suspensión para ser enviados al área tesorería dentro de los tiempos establecidos en el procedimiento de servicios públicos y así evitar cortes y cobros por reconexiones e interés de mora por demora en el pago. </t>
  </si>
  <si>
    <t>Según la evidencia que se requiere para este control, se observan los formatos Conglomerado y trazabilidad  de servicios A-GSA-FT-014 de enero al mes de abril. 
&amp;</t>
  </si>
  <si>
    <t>El/la funcionario/a o contratista responsable de los seguros.</t>
  </si>
  <si>
    <t>Cada vez que se reporte el hurto pérdida o daño de un bien de propiedad de la entidad</t>
  </si>
  <si>
    <t>Verificar se cuente con los documentos requeridos para iniciar el proceso de reclamación dentro del término de ley.</t>
  </si>
  <si>
    <t>Una vez se cuente con los documentos requeridos se procede con la formalización de la reclamación a la aseguradora.</t>
  </si>
  <si>
    <t>Se debe completar la información faltante para realizar nuevamente el proceso de reclamación a la aseguradora</t>
  </si>
  <si>
    <t>Documentos de la solicitud de la reclamación realizada</t>
  </si>
  <si>
    <t>Correctivo</t>
  </si>
  <si>
    <t>Responsabilidades y trámite ante siniestros A-GFI-PR-017</t>
  </si>
  <si>
    <t xml:space="preserve">
Durante este periodo comprendido enttre enero-abril se registraron los siguientes siniestros:
HURTO DE DISPOSITIVO MOVIL TABLET SAMSUNG GALAXY TAB ACTIVE 3, COLOR NEGRO, IDENTIFICADA CON PLACA INVENTARIO No 646370, HECHOS OCURRIDOS EL DÍA LUNES 19 DE ENERO DE 2026 EN VIA PUBLICA, EN DESARROLLO DE ACTIVIDADES DEL CONVENIO INTERADMINISTRATIVO No 610/2025 SCRD – IDIPRON.
HURTO DE COMPUTADOR PORTATIL MARCA HEWLETT PACKARD, IDENTIFICADO CON PLACA INVENTARIO No 644495, ASIGNADO A LA GERENCIA OPERATIVA DE IDIPRON, HECHOS OCURRIDOS EL DÍA MIERCOLES 18 DE MARZO DE 2026 EN VIA PUBLICA.
De acuerdo con lo anterior, se remiten documentos que soportan el inicio de dicha reclamación:
* Informe de los Hechos, suscrito por el responsable de los bienes.
* Correo Electrónico de "Aviso de Siniestro" enviado a la Firma Aseguradora.
* Memorando de respuesta al funcionario que reporta el siniestro. </t>
  </si>
  <si>
    <t>De acuerrdo con la evidencia cargada por el proceso,se observan dos carpatas que contienen los documentos de los casos de siniestros (hurto) que soportan la  solicitud de reclamasión.
No se materializa el riesgo. 
No cuentan con acciones de forttalecimiento. 
&amp;</t>
  </si>
  <si>
    <t xml:space="preserve">Se podrán incluir más filas de acuerdo a la cantidad de riesgos que se requieran relacionar </t>
  </si>
  <si>
    <t>Vr. 02; 13/03/2024</t>
  </si>
  <si>
    <t>2 DE 2</t>
  </si>
  <si>
    <t xml:space="preserve">Las quejas o la insatisfacción de los usuarios </t>
  </si>
  <si>
    <t>Por incumplimiento o mala prestación de los servicios administrativos</t>
  </si>
  <si>
    <t>Posibilidad de afectación reputacional por quejas o insatisfacción de los usuarios debido a incumplimiento o mala prestación de los servicios administrativos</t>
  </si>
  <si>
    <t>El riesgo afecta la imagen de la entidad internamente, de conocimiento general nivel interno, de junta directiva y/o de proveedores</t>
  </si>
  <si>
    <t>Los/as responsables asignados/as por la gerencia administrativa.</t>
  </si>
  <si>
    <t>Cada vez que se recibe una solicitud de servicio.</t>
  </si>
  <si>
    <t>Verificar que la solicitud a través del Aplicativo ARANDA se haya gestionado.</t>
  </si>
  <si>
    <t>Se revisa la trazabilidad desde el momento de la solicitud hasta el cierre del caso en los tiempos establecidos para cada situación.</t>
  </si>
  <si>
    <t>En caso que se detecte un caso en ARANDA que no se haya gestionado,  se envía un correo al responsable del proceso.</t>
  </si>
  <si>
    <t>El reporte en Aranda 
(correo electrónico cuando aplique)</t>
  </si>
  <si>
    <t>Sin documentar</t>
  </si>
  <si>
    <t>No se encuentra documentado</t>
  </si>
  <si>
    <t>Realizar (1) una capacitación al personal de servicios generales respecto a los lineamientos que deben tener en cuenta en la prestación de su servicio y al correcto diligenciamiento de los formatos del proceso.</t>
  </si>
  <si>
    <t xml:space="preserve">Gerencia Administrativa
</t>
  </si>
  <si>
    <t>01/06/2026 al 15/12/2026</t>
  </si>
  <si>
    <t>Durante el primer cuatrimestre se recibieron:
Enero: Se recibieron 1 solicitudes de servicio (auditorio calle 61)
Febrero: Se recibieron 1 solicitudes de servicio  (auditorio calle 61).
Marzo: Se recibieron 12 solicitudes de servicio (auditorio calle 61).
Abril: Se recibieron 1 solicitudes de servicio (Gauditorio calle 61).
Para un total en el segundo cuatrimestre de 15 solicitudes a las cuales se les dio solución en los tiempos establecidos</t>
  </si>
  <si>
    <t>No se pudo obtener la inofrmación completa del proceso de Arandapor novedades en el usuario.</t>
  </si>
  <si>
    <t>De acuerdo a la evidencia cargada por el proceso, se observan las actas de consolidación de solicitudes recibidas y gestionadas para la asignación y reserva del auditorio de la sede Calle 61, correspondientes a los meses de enero a abril, junto con la base en Excel con la consolidación de solicitudes gesttionadas del auditorio de la calle 61.
&amp;</t>
  </si>
  <si>
    <t>El/la funcionario/a o contratista del componente de transportes</t>
  </si>
  <si>
    <t>Cada vez que se recibe una solicitud de transporte.</t>
  </si>
  <si>
    <t>Revisar que las solicitud de los servicios de transporte que sean viables, cuenten con el formato debidamente  diligenciado</t>
  </si>
  <si>
    <t>Se verifica que el formato diligenciado por el usuario, contenga el punto de inicio de recorrido, fecha, hora y número de pasajeros, y determina la disponibilidad y tipo de vehículo para la prestación del servicio.</t>
  </si>
  <si>
    <t>se remite correo electrónico al solicitante para que ajuste el formato diligenciado dentro del tiempo definido o si no se cierra el caso</t>
  </si>
  <si>
    <t>Solicitud de servicio de transporte A-GSA-FT-008
correo electrónico cuando aplique.</t>
  </si>
  <si>
    <t>Administración del Parque Automotor A-GSA-PR-003</t>
  </si>
  <si>
    <t>Durante el primer cuatrimestre del 2026, diariamente el profesional y/o contratista encargado de las programaciones de los servicios de transporte recibió un total de 1398  solicitudes de transporte, de las cuales se prestó el servicio de transporte a 1390, dejando de atender 8 por cancelación de los funcionarios, flota ocupada por servicios prioritarios, programaciones a último hora y servicios mal programados, adicionalmente el profesional y/o contratista revisó que el formato de solicitud de Transporte A-GSA-FT-008 estuviese completamente diligenciado y firmado por la persona responsable del área y/o subdirección.</t>
  </si>
  <si>
    <t>De acuerdo con la evidencia que adjunta el proceso se observa que  los formatos de solicitud de Transporte A-GSA-FT-008 se encuentran cortados, es decir no cuentan con el encabezado ni firmas, por otro lado adjuntan cuadro Excel con el seguimiento de solicitudes cuatrimestral.
&amp;</t>
  </si>
  <si>
    <t xml:space="preserve">Semanalmente </t>
  </si>
  <si>
    <t>Revisar el formato de control de recorridos entregado por los conductores de la flota propia del IDIPRON,.</t>
  </si>
  <si>
    <t>revisando su Diligenciamiento y analizando las observaciones plasmadas por el usuario del servicio.</t>
  </si>
  <si>
    <t>en caso de encontrar inconformidades se retroalimenta al conductor para que no se repita.</t>
  </si>
  <si>
    <t>Formato Control de Recorrido A-GSA-FT-009</t>
  </si>
  <si>
    <t>Realizar una (1) capacitación al personal de servicios generales respecto a los lineamientos que deben tener en cuenta en la prestación de su servicio y al correcto diligenciamiento de los formatos del proceso</t>
  </si>
  <si>
    <t>Gerencia Administrativa</t>
  </si>
  <si>
    <t>01/06/2025 al 15/12/2025</t>
  </si>
  <si>
    <t xml:space="preserve">Durante el primer cuatrimestre se prestaron los servicios de transporte con la flota propia de la siguiente manera: 
Enero un total de 183 servicios
Febrero un total de 293 servicios
Marzo un total de 341 servicios
Abril un total de 294 servicios
Para un total en el primer cuatrimestre de 1111 servicios, donde el profesional y/o contratista encargado de recibir el formato de planilla ¨Formato Control de Recorridos A-GSA-FT-009¨ reviso que estuviese completamente diligenciado y verifica si se encuentra alguna observación por el funcionario que solicito el servicio.
</t>
  </si>
  <si>
    <t>Se observa que el proceso adjunta como evidencia los formatos Control de Recorrido A-GSA-FT-009, correspondientes a los meses de enero a abril. 
&amp;</t>
  </si>
  <si>
    <t>Los/as responsables asignados por la gerencia administrativa</t>
  </si>
  <si>
    <t>Verificar el seguimiento a las PQR recibidas relacionadas con los servicios prestados por la Gerencia Administrativa.</t>
  </si>
  <si>
    <t>se realiza informando a los responsables de la respuesta a través de correo electrónico las peticiones asignadas y las próximas a vencer.</t>
  </si>
  <si>
    <t>Se notifica por correo electrónico a la persona encargada para que dé respuesta inmediata.</t>
  </si>
  <si>
    <t>Correos electrónicos</t>
  </si>
  <si>
    <t>En el primer cuatrimestre del presente año se presentaron 3 procesos de PQR, a los cuales se les dio respuesta por parte de la Gerencia Administrativa.</t>
  </si>
  <si>
    <t>De acuerdo con la evidencia, se observa que el proceso adjunta los correos electrónicos de seguimiento a los PQRS y a un derecho de petición que se le dieron respuesta por parte de la gerencia administrativa. 
No se materializa el riesgo. 
No se cuenta con acciones de fortalecimineto. 
&amp;</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</si>
  <si>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</si>
  <si>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</si>
  <si>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</si>
  <si>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</si>
  <si>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</si>
  <si>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</si>
  <si>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</si>
  <si>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</si>
  <si>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</si>
  <si>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</si>
  <si>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</si>
  <si>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</si>
  <si>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</si>
  <si>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</si>
  <si>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</si>
  <si>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</si>
  <si>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</si>
  <si>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</si>
  <si>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</si>
  <si>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</si>
  <si>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</si>
  <si>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</si>
  <si>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</si>
  <si>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</si>
  <si>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</si>
  <si>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</si>
  <si>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</si>
  <si>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</si>
  <si>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</si>
  <si>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</si>
  <si>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</si>
  <si>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</si>
  <si>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</si>
  <si>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</si>
  <si>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</si>
  <si>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</si>
  <si>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</si>
  <si>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</si>
  <si>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</si>
  <si>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BAJA - MAYOR</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</si>
  <si>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</si>
  <si>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</si>
  <si>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</si>
  <si>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</si>
  <si>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</si>
  <si>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</si>
  <si>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</si>
  <si>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</si>
  <si>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</si>
  <si>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</si>
  <si>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</si>
  <si>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</si>
  <si>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</si>
  <si>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</si>
  <si>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</si>
  <si>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</si>
  <si>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</si>
  <si>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</si>
  <si>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MUY ALTA - MODERADO</t>
  </si>
  <si>
    <t>MUY ALTA - MAYOR</t>
  </si>
  <si>
    <t>MUY ALTA - CATASTRÓFICO</t>
  </si>
  <si>
    <t>DOCUMENTACIÓN</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</si>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</sst>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7">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sz val="11"/>
      <color rgb="FF000000"/>
      <name val="Arial"/>
      <family val="2"/>
      <charset val="1"/>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9"/>
      <color rgb="FF000000"/>
      <name val="Tahoma"/>
      <family val="2"/>
    </font>
    <font>
      <sz val="12"/>
      <color rgb="FF000000"/>
      <name val="Times New Roman"/>
      <family val="1"/>
    </font>
    <font>
      <sz val="10"/>
      <color rgb="FF000000"/>
      <name val="Times New Roman"/>
      <family val="1"/>
    </font>
    <font>
      <b/>
      <sz val="16"/>
      <color theme="1"/>
      <name val="Calibri"/>
      <family val="2"/>
      <scheme val="minor"/>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style="thin">
        <color rgb="FF000000"/>
      </right>
      <top style="thin">
        <color rgb="FF000000"/>
      </top>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cellStyleXfs>
  <cellXfs count="310">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6"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47" xfId="0" applyFont="1" applyBorder="1" applyAlignment="1" applyProtection="1">
      <alignment horizontal="center" vertical="center"/>
      <protection locked="0"/>
    </xf>
    <xf numFmtId="0" fontId="28" fillId="0" borderId="47" xfId="0" applyFont="1" applyBorder="1" applyAlignment="1" applyProtection="1">
      <alignment vertical="center" wrapText="1"/>
      <protection hidden="1"/>
    </xf>
    <xf numFmtId="0" fontId="0" fillId="0" borderId="48" xfId="0" applyBorder="1" applyAlignment="1" applyProtection="1">
      <alignment horizontal="center" vertical="center"/>
      <protection hidden="1"/>
    </xf>
    <xf numFmtId="9" fontId="29" fillId="14" borderId="49" xfId="2" applyFont="1" applyFill="1" applyBorder="1" applyAlignment="1" applyProtection="1">
      <alignment horizontal="center" vertical="center"/>
      <protection hidden="1"/>
    </xf>
    <xf numFmtId="0" fontId="29" fillId="14" borderId="49"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0" xfId="0" applyFont="1" applyBorder="1" applyAlignment="1">
      <alignment horizontal="center" vertical="center"/>
    </xf>
    <xf numFmtId="0" fontId="25" fillId="0" borderId="52" xfId="0" applyFont="1" applyBorder="1" applyAlignment="1">
      <alignment horizontal="center" vertical="center"/>
    </xf>
    <xf numFmtId="9" fontId="0" fillId="0" borderId="53" xfId="2" applyFont="1" applyBorder="1" applyAlignment="1">
      <alignment horizontal="center" vertical="center"/>
    </xf>
    <xf numFmtId="9" fontId="0" fillId="0" borderId="54"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0" xfId="0" applyFont="1" applyBorder="1" applyAlignment="1">
      <alignment horizontal="center" vertical="center"/>
    </xf>
    <xf numFmtId="9" fontId="21" fillId="0" borderId="53" xfId="2" applyFont="1" applyFill="1" applyBorder="1" applyAlignment="1">
      <alignment horizontal="center" vertical="center"/>
    </xf>
    <xf numFmtId="0" fontId="21" fillId="0" borderId="37" xfId="0" applyFont="1" applyBorder="1" applyAlignment="1">
      <alignment horizontal="center" vertical="center"/>
    </xf>
    <xf numFmtId="0" fontId="0" fillId="11" borderId="50" xfId="0" applyFill="1" applyBorder="1" applyAlignment="1">
      <alignment horizontal="center" vertical="center"/>
    </xf>
    <xf numFmtId="0" fontId="0" fillId="11" borderId="51" xfId="0" applyFill="1" applyBorder="1" applyAlignment="1">
      <alignment horizontal="center" vertical="center"/>
    </xf>
    <xf numFmtId="0" fontId="0" fillId="10" borderId="52" xfId="0" applyFill="1" applyBorder="1" applyAlignment="1">
      <alignment horizontal="center" vertical="center"/>
    </xf>
    <xf numFmtId="0" fontId="0" fillId="11" borderId="37" xfId="0" applyFill="1" applyBorder="1" applyAlignment="1">
      <alignment horizontal="center" vertical="center"/>
    </xf>
    <xf numFmtId="0" fontId="0" fillId="10" borderId="55" xfId="0" applyFill="1" applyBorder="1" applyAlignment="1">
      <alignment horizontal="center" vertical="center"/>
    </xf>
    <xf numFmtId="0" fontId="0" fillId="3" borderId="37" xfId="0" applyFill="1" applyBorder="1" applyAlignment="1">
      <alignment horizontal="center" vertical="center"/>
    </xf>
    <xf numFmtId="0" fontId="0" fillId="5" borderId="37" xfId="0" applyFill="1" applyBorder="1" applyAlignment="1">
      <alignment horizontal="center" vertical="center"/>
    </xf>
    <xf numFmtId="0" fontId="0" fillId="5" borderId="53"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4"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0" xfId="0" applyFill="1" applyBorder="1" applyAlignment="1">
      <alignment horizontal="center" vertical="center"/>
    </xf>
    <xf numFmtId="0" fontId="0" fillId="3" borderId="5" xfId="0" applyFill="1" applyBorder="1" applyAlignment="1">
      <alignment horizontal="center" vertical="center"/>
    </xf>
    <xf numFmtId="0" fontId="0" fillId="3" borderId="53" xfId="0" applyFill="1" applyBorder="1" applyAlignment="1">
      <alignment horizontal="center" vertical="center"/>
    </xf>
    <xf numFmtId="0" fontId="0" fillId="3" borderId="6" xfId="0" applyFill="1" applyBorder="1" applyAlignment="1">
      <alignment horizontal="center" vertical="center"/>
    </xf>
    <xf numFmtId="0" fontId="0" fillId="5" borderId="50" xfId="0" applyFill="1" applyBorder="1" applyAlignment="1">
      <alignment horizontal="center" vertical="center"/>
    </xf>
    <xf numFmtId="0" fontId="0" fillId="3" borderId="51" xfId="0" applyFill="1" applyBorder="1" applyAlignment="1">
      <alignment horizontal="center" vertical="center"/>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0" fontId="0" fillId="0" borderId="0" xfId="0" applyAlignment="1">
      <alignment horizontal="right" vertical="center"/>
    </xf>
    <xf numFmtId="0" fontId="11" fillId="2" borderId="56"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2" fillId="2" borderId="50" xfId="0" applyFont="1" applyFill="1" applyBorder="1" applyAlignment="1">
      <alignment horizontal="center" vertical="center" textRotation="90"/>
    </xf>
    <xf numFmtId="9" fontId="2" fillId="0" borderId="1" xfId="0" applyNumberFormat="1" applyFont="1" applyBorder="1" applyAlignment="1">
      <alignment horizontal="justify" vertical="center" wrapText="1"/>
    </xf>
    <xf numFmtId="10" fontId="2" fillId="0" borderId="1" xfId="0" applyNumberFormat="1" applyFont="1" applyBorder="1" applyAlignment="1">
      <alignment horizontal="justify" vertical="center" wrapText="1"/>
    </xf>
    <xf numFmtId="0" fontId="2" fillId="7" borderId="1" xfId="0" applyFont="1" applyFill="1" applyBorder="1" applyAlignment="1">
      <alignment horizontal="center" vertical="center" textRotation="90" wrapText="1"/>
    </xf>
    <xf numFmtId="0" fontId="2" fillId="2" borderId="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center" vertical="center"/>
    </xf>
    <xf numFmtId="0" fontId="0" fillId="0" borderId="1" xfId="0" applyBorder="1"/>
    <xf numFmtId="0" fontId="4" fillId="0" borderId="1" xfId="0" applyFont="1" applyBorder="1"/>
    <xf numFmtId="0" fontId="34" fillId="0" borderId="1" xfId="0" applyFont="1" applyBorder="1" applyAlignment="1">
      <alignment vertical="center" wrapText="1"/>
    </xf>
    <xf numFmtId="0" fontId="13" fillId="0" borderId="1" xfId="0" applyFont="1" applyBorder="1" applyAlignment="1">
      <alignment horizontal="justify" vertical="center"/>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34" fillId="0" borderId="1" xfId="0" applyFont="1" applyBorder="1" applyAlignment="1">
      <alignment vertical="center"/>
    </xf>
    <xf numFmtId="14" fontId="35" fillId="0" borderId="1" xfId="0" applyNumberFormat="1" applyFont="1" applyBorder="1" applyAlignment="1">
      <alignment vertical="center"/>
    </xf>
    <xf numFmtId="0" fontId="13" fillId="0" borderId="4" xfId="0" applyFont="1" applyBorder="1" applyAlignment="1">
      <alignment vertical="center" wrapText="1"/>
    </xf>
    <xf numFmtId="0" fontId="13" fillId="0" borderId="54" xfId="0" applyFont="1" applyBorder="1" applyAlignment="1">
      <alignment vertical="center" wrapText="1"/>
    </xf>
    <xf numFmtId="0" fontId="13" fillId="0" borderId="1" xfId="0" applyFont="1" applyBorder="1" applyAlignment="1">
      <alignment vertical="center" wrapText="1"/>
    </xf>
    <xf numFmtId="0" fontId="13" fillId="0" borderId="6" xfId="0" applyFont="1" applyBorder="1" applyAlignment="1">
      <alignment vertical="center" wrapText="1"/>
    </xf>
    <xf numFmtId="0" fontId="4" fillId="16" borderId="59" xfId="0" applyFont="1" applyFill="1" applyBorder="1" applyAlignment="1">
      <alignment horizontal="center" vertical="center" wrapText="1"/>
    </xf>
    <xf numFmtId="0" fontId="6" fillId="0" borderId="0" xfId="0" applyFont="1"/>
    <xf numFmtId="0" fontId="13" fillId="0" borderId="5" xfId="0" applyFont="1" applyBorder="1" applyAlignment="1">
      <alignment horizontal="center" vertical="center"/>
    </xf>
    <xf numFmtId="0" fontId="13" fillId="0" borderId="30"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vertical="center"/>
    </xf>
    <xf numFmtId="0" fontId="13" fillId="0" borderId="30" xfId="0" applyFont="1" applyBorder="1" applyAlignment="1">
      <alignment vertical="center"/>
    </xf>
    <xf numFmtId="0" fontId="13" fillId="0" borderId="6" xfId="0" applyFont="1" applyBorder="1" applyAlignment="1">
      <alignment vertical="center"/>
    </xf>
    <xf numFmtId="0" fontId="34" fillId="0" borderId="1" xfId="0" applyFont="1" applyBorder="1" applyAlignment="1">
      <alignment horizontal="center" vertical="center" wrapText="1"/>
    </xf>
    <xf numFmtId="0" fontId="8" fillId="0" borderId="0" xfId="0" applyFont="1" applyAlignment="1">
      <alignment horizontal="left" vertical="center"/>
    </xf>
    <xf numFmtId="0" fontId="2" fillId="0" borderId="1" xfId="0" applyFont="1" applyBorder="1" applyAlignment="1">
      <alignment horizontal="justify" vertical="top" wrapText="1"/>
    </xf>
    <xf numFmtId="0" fontId="0" fillId="0" borderId="1" xfId="0" applyBorder="1" applyAlignment="1">
      <alignment horizontal="justify" vertical="top"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0" fillId="4" borderId="1" xfId="0" applyFont="1" applyFill="1" applyBorder="1" applyAlignment="1">
      <alignment horizontal="center" vertical="top" textRotation="90"/>
    </xf>
    <xf numFmtId="0" fontId="1" fillId="0" borderId="1" xfId="0" applyFont="1" applyBorder="1" applyAlignment="1">
      <alignment horizontal="center" vertical="center" textRotation="90"/>
    </xf>
    <xf numFmtId="0" fontId="12" fillId="0" borderId="5"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6" xfId="0" applyFont="1" applyBorder="1" applyAlignment="1">
      <alignment horizontal="center" vertical="center" wrapText="1"/>
    </xf>
    <xf numFmtId="14" fontId="9" fillId="0" borderId="1" xfId="0" applyNumberFormat="1" applyFont="1" applyBorder="1" applyAlignment="1">
      <alignment horizontal="center" vertical="center" wrapText="1"/>
    </xf>
    <xf numFmtId="9" fontId="3" fillId="4" borderId="1"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0" fontId="2" fillId="2" borderId="50" xfId="0" applyFont="1" applyFill="1" applyBorder="1" applyAlignment="1">
      <alignment horizontal="center" vertical="center" textRotation="90" wrapText="1"/>
    </xf>
    <xf numFmtId="0" fontId="2" fillId="2" borderId="52" xfId="0" applyFont="1" applyFill="1" applyBorder="1" applyAlignment="1">
      <alignment horizontal="center" vertical="center" textRotation="90"/>
    </xf>
    <xf numFmtId="0" fontId="3" fillId="0" borderId="1"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5" fillId="0" borderId="1" xfId="0" applyFont="1" applyBorder="1" applyAlignment="1">
      <alignment horizontal="center" vertical="top"/>
    </xf>
    <xf numFmtId="0" fontId="3" fillId="4" borderId="1" xfId="0" applyFont="1" applyFill="1" applyBorder="1" applyAlignment="1">
      <alignment horizontal="center" vertical="top"/>
    </xf>
    <xf numFmtId="9" fontId="3" fillId="0" borderId="1" xfId="1" applyNumberFormat="1" applyFont="1" applyBorder="1" applyAlignment="1">
      <alignment horizontal="center" vertical="top" wrapText="1"/>
    </xf>
    <xf numFmtId="0" fontId="30" fillId="2" borderId="16"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1" xfId="3" applyFill="1" applyBorder="1" applyAlignment="1">
      <alignment horizontal="center" vertical="center" wrapText="1"/>
    </xf>
    <xf numFmtId="0" fontId="30" fillId="2" borderId="17" xfId="3" applyFill="1" applyBorder="1" applyAlignment="1">
      <alignment horizontal="center" vertical="center" wrapText="1"/>
    </xf>
    <xf numFmtId="0" fontId="30" fillId="2" borderId="13" xfId="3" applyFill="1" applyBorder="1" applyAlignment="1">
      <alignment horizontal="center" vertical="center" wrapText="1"/>
    </xf>
    <xf numFmtId="0" fontId="30" fillId="2" borderId="1"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14" fontId="1" fillId="0" borderId="18" xfId="0" applyNumberFormat="1" applyFont="1" applyBorder="1" applyAlignment="1">
      <alignment horizontal="center" vertical="center"/>
    </xf>
    <xf numFmtId="0" fontId="36" fillId="0" borderId="0" xfId="0" applyFont="1" applyAlignment="1">
      <alignment horizontal="center"/>
    </xf>
    <xf numFmtId="14" fontId="0" fillId="0" borderId="5" xfId="0" applyNumberFormat="1" applyBorder="1" applyAlignment="1">
      <alignment horizontal="center" vertical="center" wrapText="1"/>
    </xf>
    <xf numFmtId="14" fontId="0" fillId="0" borderId="6" xfId="0" applyNumberFormat="1" applyBorder="1" applyAlignment="1">
      <alignment horizontal="center" vertical="center" wrapText="1"/>
    </xf>
    <xf numFmtId="0" fontId="34" fillId="0" borderId="5" xfId="0" applyFont="1" applyBorder="1" applyAlignment="1">
      <alignment vertical="center" wrapText="1"/>
    </xf>
    <xf numFmtId="0" fontId="34" fillId="0" borderId="30" xfId="0" applyFont="1" applyBorder="1" applyAlignment="1">
      <alignment vertical="center" wrapText="1"/>
    </xf>
    <xf numFmtId="0" fontId="34" fillId="0" borderId="6" xfId="0" applyFont="1" applyBorder="1" applyAlignment="1">
      <alignment vertical="center" wrapText="1"/>
    </xf>
    <xf numFmtId="0" fontId="34" fillId="0" borderId="5" xfId="0" applyFont="1" applyBorder="1" applyAlignment="1" applyProtection="1">
      <alignment horizontal="center" vertical="center" wrapText="1"/>
      <protection locked="0"/>
    </xf>
    <xf numFmtId="0" fontId="11" fillId="0" borderId="30"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26" fillId="12" borderId="1" xfId="0" applyFont="1" applyFill="1" applyBorder="1" applyAlignment="1">
      <alignment horizontal="center" vertical="center" wrapText="1"/>
    </xf>
    <xf numFmtId="0" fontId="18" fillId="7" borderId="37" xfId="0" applyFont="1" applyFill="1" applyBorder="1" applyAlignment="1">
      <alignment horizontal="left" vertical="center"/>
    </xf>
    <xf numFmtId="0" fontId="18" fillId="7" borderId="0" xfId="0" applyFont="1" applyFill="1" applyAlignment="1">
      <alignment horizontal="left" vertical="center"/>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3" xfId="0" applyFont="1" applyBorder="1" applyAlignment="1">
      <alignment horizontal="left" vertical="top" wrapText="1"/>
    </xf>
    <xf numFmtId="0" fontId="22" fillId="0" borderId="44" xfId="0" applyFont="1" applyBorder="1" applyAlignment="1">
      <alignment horizontal="left" vertical="top" wrapText="1"/>
    </xf>
    <xf numFmtId="0" fontId="22" fillId="0" borderId="45" xfId="0" applyFont="1" applyBorder="1" applyAlignment="1">
      <alignment horizontal="left" vertical="top" wrapText="1"/>
    </xf>
    <xf numFmtId="0" fontId="22" fillId="0" borderId="46" xfId="0" applyFont="1" applyBorder="1" applyAlignment="1">
      <alignment horizontal="left" vertical="top" wrapText="1"/>
    </xf>
    <xf numFmtId="0" fontId="16" fillId="8" borderId="37" xfId="0" applyFont="1" applyFill="1" applyBorder="1" applyAlignment="1">
      <alignment horizontal="center" vertical="center"/>
    </xf>
    <xf numFmtId="0" fontId="16" fillId="8" borderId="0" xfId="0" applyFont="1" applyFill="1" applyAlignment="1">
      <alignment horizontal="center"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9" borderId="31" xfId="0" applyFont="1" applyFill="1" applyBorder="1" applyAlignment="1">
      <alignment horizontal="center" vertical="center"/>
    </xf>
    <xf numFmtId="0" fontId="16" fillId="9" borderId="41" xfId="0" applyFont="1" applyFill="1" applyBorder="1" applyAlignment="1">
      <alignment horizontal="center" vertical="center"/>
    </xf>
    <xf numFmtId="0" fontId="16" fillId="9" borderId="42"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7"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3" xfId="0" applyFont="1" applyBorder="1" applyAlignment="1">
      <alignment horizontal="left"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9" fillId="0" borderId="38"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protection hidden="1"/>
    </xf>
    <xf numFmtId="0" fontId="19" fillId="0" borderId="40" xfId="0" applyFont="1" applyBorder="1" applyAlignment="1" applyProtection="1">
      <alignment horizontal="center" vertical="center"/>
      <protection hidden="1"/>
    </xf>
  </cellXfs>
  <cellStyles count="4">
    <cellStyle name="Hipervínculo" xfId="3" builtinId="8"/>
    <cellStyle name="Millares [0]" xfId="1" builtinId="6"/>
    <cellStyle name="Normal" xfId="0" builtinId="0"/>
    <cellStyle name="Porcentaje" xfId="2" builtinId="5"/>
  </cellStyles>
  <dxfs count="49">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37D45DB5-96C7-7A42-A1AA-74C983FEAE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4080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53A4A697-B603-B14C-A9C8-FD31C4A589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32870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1C20-5A57-47C3-87E6-77F37F487804}">
  <sheetPr>
    <tabColor rgb="FF00B050"/>
  </sheetPr>
  <dimension ref="A1:B14"/>
  <sheetViews>
    <sheetView workbookViewId="0">
      <selection activeCell="D18" sqref="D18"/>
    </sheetView>
  </sheetViews>
  <sheetFormatPr defaultColWidth="11.42578125" defaultRowHeight="14.45"/>
  <cols>
    <col min="1" max="1" width="17.7109375" customWidth="1"/>
    <col min="2" max="2" width="65.7109375" customWidth="1"/>
  </cols>
  <sheetData>
    <row r="1" spans="1:2" ht="21">
      <c r="A1" s="254" t="s">
        <v>0</v>
      </c>
      <c r="B1" s="254"/>
    </row>
    <row r="3" spans="1:2">
      <c r="A3" t="s">
        <v>1</v>
      </c>
    </row>
    <row r="5" spans="1:2" ht="39.6">
      <c r="A5" s="165" t="s">
        <v>2</v>
      </c>
      <c r="B5" s="165" t="s">
        <v>3</v>
      </c>
    </row>
    <row r="6" spans="1:2" ht="28.9">
      <c r="A6" s="255">
        <v>46061</v>
      </c>
      <c r="B6" s="109" t="s">
        <v>4</v>
      </c>
    </row>
    <row r="7" spans="1:2" ht="28.9">
      <c r="A7" s="256"/>
      <c r="B7" s="109" t="s">
        <v>5</v>
      </c>
    </row>
    <row r="8" spans="1:2">
      <c r="A8" s="131"/>
      <c r="B8" s="109"/>
    </row>
    <row r="9" spans="1:2">
      <c r="A9" s="131"/>
      <c r="B9" s="109"/>
    </row>
    <row r="10" spans="1:2">
      <c r="A10" s="131"/>
      <c r="B10" s="109"/>
    </row>
    <row r="11" spans="1:2">
      <c r="A11" s="131"/>
      <c r="B11" s="109"/>
    </row>
    <row r="12" spans="1:2">
      <c r="A12" s="131"/>
      <c r="B12" s="109"/>
    </row>
    <row r="14" spans="1:2">
      <c r="A14" s="166" t="s">
        <v>6</v>
      </c>
    </row>
  </sheetData>
  <mergeCells count="2">
    <mergeCell ref="A1:B1"/>
    <mergeCell ref="A6:A7"/>
  </mergeCells>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BA31"/>
  <sheetViews>
    <sheetView showGridLines="0" topLeftCell="V10" zoomScale="60" zoomScaleNormal="60" zoomScaleSheetLayoutView="80" workbookViewId="0">
      <selection activeCell="AP17" sqref="AP17:AP21"/>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40.140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47" width="67.7109375" customWidth="1"/>
    <col min="48" max="50" width="45" customWidth="1"/>
    <col min="51" max="51" width="1" customWidth="1"/>
    <col min="52" max="53" width="45" customWidth="1"/>
  </cols>
  <sheetData>
    <row r="1" spans="1:53" ht="15.75" customHeight="1">
      <c r="A1" s="227"/>
      <c r="B1" s="228"/>
      <c r="C1" s="233" t="s">
        <v>7</v>
      </c>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5"/>
      <c r="AX1" s="227" t="s">
        <v>8</v>
      </c>
      <c r="AY1" s="228"/>
      <c r="AZ1" s="245" t="s">
        <v>9</v>
      </c>
      <c r="BA1" s="246"/>
    </row>
    <row r="2" spans="1:53" ht="15.75" customHeight="1" thickBot="1">
      <c r="A2" s="229"/>
      <c r="B2" s="230"/>
      <c r="C2" s="236"/>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8"/>
      <c r="AX2" s="231"/>
      <c r="AY2" s="232"/>
      <c r="AZ2" s="247"/>
      <c r="BA2" s="248"/>
    </row>
    <row r="3" spans="1:53" ht="15.75" customHeight="1">
      <c r="A3" s="229"/>
      <c r="B3" s="230"/>
      <c r="C3" s="236"/>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8"/>
      <c r="AX3" s="227" t="s">
        <v>10</v>
      </c>
      <c r="AY3" s="228"/>
      <c r="AZ3" s="249" t="s">
        <v>11</v>
      </c>
      <c r="BA3" s="250"/>
    </row>
    <row r="4" spans="1:53" ht="16.5" customHeight="1" thickBot="1">
      <c r="A4" s="229"/>
      <c r="B4" s="230"/>
      <c r="C4" s="239"/>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1"/>
      <c r="AX4" s="231"/>
      <c r="AY4" s="232"/>
      <c r="AZ4" s="251"/>
      <c r="BA4" s="252"/>
    </row>
    <row r="5" spans="1:53" ht="20.45" customHeight="1">
      <c r="A5" s="229"/>
      <c r="B5" s="230"/>
      <c r="C5" s="236" t="s">
        <v>12</v>
      </c>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8"/>
      <c r="AX5" s="227" t="s">
        <v>13</v>
      </c>
      <c r="AY5" s="228"/>
      <c r="AZ5" s="227" t="s">
        <v>14</v>
      </c>
      <c r="BA5" s="228"/>
    </row>
    <row r="6" spans="1:53" ht="15" customHeight="1" thickBot="1">
      <c r="A6" s="229"/>
      <c r="B6" s="230"/>
      <c r="C6" s="236"/>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8"/>
      <c r="AX6" s="231"/>
      <c r="AY6" s="232"/>
      <c r="AZ6" s="231"/>
      <c r="BA6" s="232"/>
    </row>
    <row r="7" spans="1:53" ht="15.75" customHeight="1">
      <c r="A7" s="229"/>
      <c r="B7" s="230"/>
      <c r="C7" s="236"/>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8"/>
      <c r="AX7" s="227" t="s">
        <v>15</v>
      </c>
      <c r="AY7" s="228"/>
      <c r="AZ7" s="253">
        <v>45828</v>
      </c>
      <c r="BA7" s="246"/>
    </row>
    <row r="8" spans="1:53" ht="16.5" customHeight="1" thickBot="1">
      <c r="A8" s="231"/>
      <c r="B8" s="232"/>
      <c r="C8" s="239"/>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1"/>
      <c r="AX8" s="231"/>
      <c r="AY8" s="232"/>
      <c r="AZ8" s="247"/>
      <c r="BA8" s="248"/>
    </row>
    <row r="10" spans="1:53" ht="54" customHeight="1">
      <c r="A10" s="223" t="s">
        <v>16</v>
      </c>
      <c r="B10" s="223"/>
      <c r="C10" s="223"/>
      <c r="D10" s="242" t="s">
        <v>17</v>
      </c>
      <c r="E10" s="243"/>
      <c r="F10" s="243"/>
      <c r="G10" s="243"/>
      <c r="H10" s="243"/>
      <c r="I10" s="243"/>
      <c r="J10" s="243"/>
      <c r="K10" s="243"/>
      <c r="L10" s="243"/>
      <c r="M10" s="244"/>
      <c r="N10" s="24"/>
      <c r="AN10" s="1"/>
      <c r="AO10" s="1"/>
      <c r="AP10" s="1"/>
    </row>
    <row r="11" spans="1:53" s="3" customFormat="1" ht="75" customHeight="1">
      <c r="A11" s="223" t="s">
        <v>18</v>
      </c>
      <c r="B11" s="223"/>
      <c r="C11" s="223"/>
      <c r="D11" s="224" t="s">
        <v>19</v>
      </c>
      <c r="E11" s="225"/>
      <c r="F11" s="225"/>
      <c r="G11" s="225"/>
      <c r="H11" s="225"/>
      <c r="I11" s="225"/>
      <c r="J11" s="225"/>
      <c r="K11" s="225"/>
      <c r="L11" s="225"/>
      <c r="M11" s="226"/>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23" t="s">
        <v>20</v>
      </c>
      <c r="B12" s="223"/>
      <c r="C12" s="223"/>
      <c r="D12" s="224" t="s">
        <v>21</v>
      </c>
      <c r="E12" s="225"/>
      <c r="F12" s="225"/>
      <c r="G12" s="225"/>
      <c r="H12" s="225"/>
      <c r="I12" s="225"/>
      <c r="J12" s="225"/>
      <c r="K12" s="225"/>
      <c r="L12" s="225"/>
      <c r="M12" s="226"/>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95" t="s">
        <v>22</v>
      </c>
      <c r="B14" s="196"/>
      <c r="C14" s="196"/>
      <c r="D14" s="196"/>
      <c r="E14" s="196"/>
      <c r="F14" s="196"/>
      <c r="G14" s="196"/>
      <c r="H14" s="196"/>
      <c r="I14" s="196"/>
      <c r="J14" s="196"/>
      <c r="K14" s="196"/>
      <c r="L14" s="196"/>
      <c r="M14" s="196"/>
      <c r="N14" s="197"/>
      <c r="O14" s="198"/>
      <c r="P14" s="2"/>
      <c r="Q14" s="203" t="s">
        <v>23</v>
      </c>
      <c r="R14" s="204"/>
      <c r="S14" s="204"/>
      <c r="T14" s="204"/>
      <c r="U14" s="204"/>
      <c r="V14" s="204"/>
      <c r="W14" s="204"/>
      <c r="X14" s="204"/>
      <c r="Y14" s="205"/>
      <c r="Z14" s="205"/>
      <c r="AA14" s="205"/>
      <c r="AB14" s="205"/>
      <c r="AC14" s="205"/>
      <c r="AD14" s="205"/>
      <c r="AE14" s="205"/>
      <c r="AF14" s="204"/>
      <c r="AG14" s="204"/>
      <c r="AH14" s="204"/>
      <c r="AI14" s="204"/>
      <c r="AJ14" s="204"/>
      <c r="AK14" s="204"/>
      <c r="AL14" s="204"/>
      <c r="AM14" s="204"/>
      <c r="AN14" s="206"/>
      <c r="AO14" s="2"/>
      <c r="AP14" s="207" t="s">
        <v>24</v>
      </c>
      <c r="AQ14" s="208"/>
      <c r="AR14" s="209"/>
      <c r="AT14" s="213" t="s">
        <v>25</v>
      </c>
      <c r="AU14" s="214"/>
      <c r="AV14" s="214"/>
      <c r="AW14" s="214"/>
      <c r="AX14" s="215"/>
      <c r="AY14" s="30"/>
      <c r="AZ14" s="207" t="s">
        <v>26</v>
      </c>
      <c r="BA14" s="209"/>
    </row>
    <row r="15" spans="1:53">
      <c r="A15" s="199"/>
      <c r="B15" s="200"/>
      <c r="C15" s="200"/>
      <c r="D15" s="200"/>
      <c r="E15" s="200"/>
      <c r="F15" s="200"/>
      <c r="G15" s="200"/>
      <c r="H15" s="200"/>
      <c r="I15" s="200"/>
      <c r="J15" s="200"/>
      <c r="K15" s="200"/>
      <c r="L15" s="200"/>
      <c r="M15" s="200"/>
      <c r="N15" s="201"/>
      <c r="O15" s="202"/>
      <c r="P15" s="2"/>
      <c r="Q15" s="26"/>
      <c r="R15" s="27"/>
      <c r="S15" s="27"/>
      <c r="T15" s="27"/>
      <c r="U15" s="27"/>
      <c r="V15" s="27"/>
      <c r="W15" s="27"/>
      <c r="X15" s="27"/>
      <c r="Y15" s="218" t="s">
        <v>27</v>
      </c>
      <c r="Z15" s="219"/>
      <c r="AA15" s="220"/>
      <c r="AB15" s="218" t="s">
        <v>28</v>
      </c>
      <c r="AC15" s="219"/>
      <c r="AD15" s="219"/>
      <c r="AE15" s="219"/>
      <c r="AF15" s="220"/>
      <c r="AG15" s="221"/>
      <c r="AH15" s="221"/>
      <c r="AI15" s="221"/>
      <c r="AJ15" s="221"/>
      <c r="AK15" s="221"/>
      <c r="AL15" s="221"/>
      <c r="AM15" s="221"/>
      <c r="AN15" s="222"/>
      <c r="AO15" s="2"/>
      <c r="AP15" s="210"/>
      <c r="AQ15" s="211"/>
      <c r="AR15" s="212"/>
      <c r="AT15" s="216"/>
      <c r="AU15" s="211"/>
      <c r="AV15" s="211"/>
      <c r="AW15" s="211"/>
      <c r="AX15" s="217"/>
      <c r="AY15" s="30"/>
      <c r="AZ15" s="210"/>
      <c r="BA15" s="212"/>
    </row>
    <row r="16" spans="1:53" s="5" customFormat="1" ht="166.5" customHeight="1">
      <c r="A16" s="9" t="s">
        <v>29</v>
      </c>
      <c r="B16" s="10" t="s">
        <v>30</v>
      </c>
      <c r="C16" s="11" t="s">
        <v>31</v>
      </c>
      <c r="D16" s="11" t="s">
        <v>32</v>
      </c>
      <c r="E16" s="12" t="s">
        <v>33</v>
      </c>
      <c r="F16" s="19" t="s">
        <v>34</v>
      </c>
      <c r="G16" s="32" t="s">
        <v>35</v>
      </c>
      <c r="H16" s="12" t="s">
        <v>36</v>
      </c>
      <c r="I16" s="11" t="s">
        <v>37</v>
      </c>
      <c r="J16" s="11" t="s">
        <v>38</v>
      </c>
      <c r="K16" s="12" t="s">
        <v>39</v>
      </c>
      <c r="L16" s="12" t="s">
        <v>40</v>
      </c>
      <c r="M16" s="11" t="s">
        <v>37</v>
      </c>
      <c r="N16" s="11" t="s">
        <v>41</v>
      </c>
      <c r="O16" s="13" t="s">
        <v>42</v>
      </c>
      <c r="P16" s="2"/>
      <c r="Q16" s="14" t="s">
        <v>43</v>
      </c>
      <c r="R16" s="127" t="s">
        <v>44</v>
      </c>
      <c r="S16" s="127" t="s">
        <v>45</v>
      </c>
      <c r="T16" s="127" t="s">
        <v>46</v>
      </c>
      <c r="U16" s="127" t="s">
        <v>47</v>
      </c>
      <c r="V16" s="127" t="s">
        <v>48</v>
      </c>
      <c r="W16" s="127" t="s">
        <v>49</v>
      </c>
      <c r="X16" s="28" t="s">
        <v>50</v>
      </c>
      <c r="Y16" s="123" t="s">
        <v>51</v>
      </c>
      <c r="Z16" s="123" t="s">
        <v>52</v>
      </c>
      <c r="AA16" s="16" t="s">
        <v>53</v>
      </c>
      <c r="AB16" s="187" t="s">
        <v>54</v>
      </c>
      <c r="AC16" s="188"/>
      <c r="AD16" s="16" t="s">
        <v>55</v>
      </c>
      <c r="AE16" s="187" t="s">
        <v>56</v>
      </c>
      <c r="AF16" s="188"/>
      <c r="AG16" s="17" t="s">
        <v>57</v>
      </c>
      <c r="AH16" s="17" t="s">
        <v>58</v>
      </c>
      <c r="AI16" s="17" t="s">
        <v>37</v>
      </c>
      <c r="AJ16" s="17" t="s">
        <v>59</v>
      </c>
      <c r="AK16" s="17" t="s">
        <v>37</v>
      </c>
      <c r="AL16" s="17" t="s">
        <v>41</v>
      </c>
      <c r="AM16" s="17" t="s">
        <v>60</v>
      </c>
      <c r="AN16" s="13" t="s">
        <v>61</v>
      </c>
      <c r="AO16" s="2"/>
      <c r="AP16" s="18" t="s">
        <v>62</v>
      </c>
      <c r="AQ16" s="15" t="s">
        <v>63</v>
      </c>
      <c r="AR16" s="29" t="s">
        <v>64</v>
      </c>
      <c r="AT16" s="119" t="s">
        <v>65</v>
      </c>
      <c r="AU16" s="121" t="s">
        <v>66</v>
      </c>
      <c r="AV16" s="121" t="s">
        <v>67</v>
      </c>
      <c r="AW16" s="121" t="s">
        <v>68</v>
      </c>
      <c r="AX16" s="120" t="s">
        <v>69</v>
      </c>
      <c r="AY16" s="31"/>
      <c r="AZ16" s="122" t="s">
        <v>70</v>
      </c>
      <c r="BA16" s="128" t="s">
        <v>71</v>
      </c>
    </row>
    <row r="17" spans="1:53" ht="353.25" customHeight="1">
      <c r="A17" s="189">
        <v>1</v>
      </c>
      <c r="B17" s="190" t="s">
        <v>72</v>
      </c>
      <c r="C17" s="191" t="s">
        <v>73</v>
      </c>
      <c r="D17" s="191" t="s">
        <v>74</v>
      </c>
      <c r="E17" s="191" t="s">
        <v>75</v>
      </c>
      <c r="F17" s="191"/>
      <c r="G17" s="192">
        <v>365</v>
      </c>
      <c r="H17" s="193" t="str">
        <f>IF(G17&lt;=0,"",IF(G17&lt;=2,"Muy Baja",IF(G17&lt;=24,"Baja",IF(G17&lt;=500,"Media",IF(G17&lt;=5000,"Alta","Muy Alta")))))</f>
        <v>Media</v>
      </c>
      <c r="I17" s="185">
        <f>IF(H17="","",IF(H17="Muy Baja",0.2,IF(H17="Baja",0.4,IF(H17="Media",0.6,IF(H17="Alta",0.8,IF(H17="Muy Alta",1,))))))</f>
        <v>0.6</v>
      </c>
      <c r="J17" s="186" t="s">
        <v>76</v>
      </c>
      <c r="K17" s="194" t="str">
        <f>+J17</f>
        <v>El riesgo afecta la imagen de algún área de la organización.</v>
      </c>
      <c r="L17" s="193" t="str">
        <f>+VLOOKUP(K17,Datos!$O$4:$P$15,2,FALSE)</f>
        <v>Leve</v>
      </c>
      <c r="M17" s="185">
        <f>IF(L17="","",IF(L17="Leve",0.2,IF(L17="Menor",0.4,IF(L17="Moderado",0.6,IF(L17="Mayor",0.8,IF(L17="Catastrófico",1,))))))</f>
        <v>0.2</v>
      </c>
      <c r="N17" s="185" t="str">
        <f>+CONCATENATE(H17, " - ", L17)</f>
        <v>Media - Leve</v>
      </c>
      <c r="O17" s="179" t="str">
        <f>+VLOOKUP(N17,Datos!J4:K28,2,)</f>
        <v>MODERADO</v>
      </c>
      <c r="P17" s="129"/>
      <c r="Q17" s="130">
        <v>1</v>
      </c>
      <c r="R17" s="117" t="s">
        <v>77</v>
      </c>
      <c r="S17" s="117" t="s">
        <v>78</v>
      </c>
      <c r="T17" s="117" t="s">
        <v>79</v>
      </c>
      <c r="U17" s="117" t="s">
        <v>80</v>
      </c>
      <c r="V17" s="117" t="s">
        <v>81</v>
      </c>
      <c r="W17" s="117" t="s">
        <v>82</v>
      </c>
      <c r="X17" s="33" t="str">
        <f>IF(OR(Y17="Preventivo",Y17="Detectivo"),"Probabilidad",IF(Y17="Correctivo","Impacto",""))</f>
        <v>Probabilidad</v>
      </c>
      <c r="Y17" s="6" t="s">
        <v>83</v>
      </c>
      <c r="Z17" s="6" t="s">
        <v>84</v>
      </c>
      <c r="AA17" s="34" t="str">
        <f t="shared" ref="AA17:AA21" si="0">IF(AND(Y17="Preventivo",Z17="Automático"),"50%",IF(AND(Y17="Preventivo",Z17="Manual"),"40%",IF(AND(Y17="Detectivo",Z17="Automático"),"40%",IF(AND(Y17="Detectivo",Z17="Manual"),"30%",IF(AND(Y17="Correctivo",Z17="Automático"),"35%",IF(AND(Y17="Correctivo",Z17="Manual"),"25%",""))))))</f>
        <v>40%</v>
      </c>
      <c r="AB17" s="41" t="s">
        <v>85</v>
      </c>
      <c r="AC17" s="41" t="s">
        <v>86</v>
      </c>
      <c r="AD17" s="6" t="s">
        <v>87</v>
      </c>
      <c r="AE17" s="8" t="s">
        <v>88</v>
      </c>
      <c r="AF17" s="8" t="s">
        <v>89</v>
      </c>
      <c r="AG17" s="35">
        <f>IFERROR(IF(X17="Probabilidad",(I17-(+I17*AA17)),IF(X17="Impacto",I17,"")),"")</f>
        <v>0.36</v>
      </c>
      <c r="AH17" s="36" t="str">
        <f t="shared" ref="AH17:AH21" si="1">IFERROR(IF(AG17="","",IF(AG17&lt;=0.2,"Muy Baja",IF(AG17&lt;=0.4,"Baja",IF(AG17&lt;=0.6,"Media",IF(AG17&lt;=0.8,"Alta","Muy Alta"))))),"")</f>
        <v>Baja</v>
      </c>
      <c r="AI17" s="37">
        <f>I17-(AA17*I17)</f>
        <v>0.36</v>
      </c>
      <c r="AJ17" s="38" t="str">
        <f t="shared" ref="AJ17:AJ21" si="2">IFERROR(IF(AK17="","",IF(AK17&lt;=0.2,"Leve",IF(AK17&lt;=0.4,"Menor",IF(AK17&lt;=0.6,"Moderado",IF(AK17&lt;=0.8,"Mayor","Catastrófico"))))),"")</f>
        <v>Leve</v>
      </c>
      <c r="AK17" s="35">
        <f>IFERROR(IF(X17="Impacto",(M17-(+M17*AA17)),IF(X17="Probabilidad",M17,"")),"")</f>
        <v>0.2</v>
      </c>
      <c r="AL17" s="39" t="str">
        <f>+CONCATENATE(AH17, " - ", AJ17)</f>
        <v>Baja - Leve</v>
      </c>
      <c r="AM17" s="40" t="str">
        <f>+VLOOKUP(AL17,Datos!$J$4:$K$28,2,)</f>
        <v>BAJO</v>
      </c>
      <c r="AN17" s="180" t="s">
        <v>90</v>
      </c>
      <c r="AO17" s="129"/>
      <c r="AP17" s="175" t="s">
        <v>91</v>
      </c>
      <c r="AQ17" s="263" t="s">
        <v>92</v>
      </c>
      <c r="AR17" s="264">
        <v>46371</v>
      </c>
      <c r="AS17" s="131"/>
      <c r="AT17" s="160">
        <v>46156</v>
      </c>
      <c r="AU17" s="161" t="s">
        <v>93</v>
      </c>
      <c r="AV17" s="257" t="s">
        <v>94</v>
      </c>
      <c r="AW17" s="257" t="s">
        <v>95</v>
      </c>
      <c r="AX17" s="260" t="s">
        <v>96</v>
      </c>
      <c r="AY17" s="132"/>
      <c r="AZ17" s="163" t="s">
        <v>97</v>
      </c>
      <c r="BA17" s="173"/>
    </row>
    <row r="18" spans="1:53" ht="353.25" customHeight="1">
      <c r="A18" s="189"/>
      <c r="B18" s="190"/>
      <c r="C18" s="191"/>
      <c r="D18" s="191"/>
      <c r="E18" s="191"/>
      <c r="F18" s="191"/>
      <c r="G18" s="192"/>
      <c r="H18" s="193"/>
      <c r="I18" s="185"/>
      <c r="J18" s="186"/>
      <c r="K18" s="194"/>
      <c r="L18" s="193"/>
      <c r="M18" s="185"/>
      <c r="N18" s="185"/>
      <c r="O18" s="179"/>
      <c r="P18" s="129"/>
      <c r="Q18" s="130">
        <v>2</v>
      </c>
      <c r="R18" s="117" t="s">
        <v>98</v>
      </c>
      <c r="S18" s="117" t="s">
        <v>99</v>
      </c>
      <c r="T18" s="159" t="s">
        <v>100</v>
      </c>
      <c r="U18" s="117" t="s">
        <v>101</v>
      </c>
      <c r="V18" s="117" t="s">
        <v>102</v>
      </c>
      <c r="W18" s="117" t="s">
        <v>103</v>
      </c>
      <c r="X18" s="33" t="str">
        <f t="shared" ref="X18:X21" si="3">IF(OR(Y18="Preventivo",Y18="Detectivo"),"Probabilidad",IF(Y18="Correctivo","Impacto",""))</f>
        <v>Probabilidad</v>
      </c>
      <c r="Y18" s="6" t="s">
        <v>104</v>
      </c>
      <c r="Z18" s="6" t="s">
        <v>84</v>
      </c>
      <c r="AA18" s="34" t="str">
        <f t="shared" si="0"/>
        <v>30%</v>
      </c>
      <c r="AB18" s="41" t="s">
        <v>85</v>
      </c>
      <c r="AC18" s="41" t="s">
        <v>105</v>
      </c>
      <c r="AD18" s="6" t="s">
        <v>87</v>
      </c>
      <c r="AE18" s="8" t="s">
        <v>88</v>
      </c>
      <c r="AF18" s="8" t="str">
        <f t="shared" ref="AF18:AF21" si="4">+W18</f>
        <v>Pantallazos de las validaciones, archivo Excel de seguimiento. Correo electrónico  (cuando aplique)</v>
      </c>
      <c r="AG18" s="37">
        <f t="shared" ref="AG18:AG21" si="5">IFERROR(IF(AND(X17="Probabilidad",X18="Probabilidad"),(AI17-(+AI17*AA18)),IF(X18="Probabilidad",($I$17-(+$I$17*AA18)),IF(X18="Impacto",AI17,""))),"")</f>
        <v>0.252</v>
      </c>
      <c r="AH18" s="36" t="str">
        <f t="shared" si="1"/>
        <v>Baja</v>
      </c>
      <c r="AI18" s="37">
        <f t="shared" ref="AI18:AI21" si="6">+AG18</f>
        <v>0.252</v>
      </c>
      <c r="AJ18" s="38" t="str">
        <f t="shared" si="2"/>
        <v>Leve</v>
      </c>
      <c r="AK18" s="35">
        <f t="shared" ref="AK18:AK21" si="7">IFERROR(IF(AND(X17="Impacto",X17="Impacto"),(AK17-(+AK17*AA18)),IF(X18="Impacto",($M$17-(+$M$17*AA18)),IF(X18="Probabilidad",AK17,""))),"")</f>
        <v>0.2</v>
      </c>
      <c r="AL18" s="39" t="str">
        <f t="shared" ref="AL18:AL21" si="8">+CONCATENATE(AH18, " - ", AJ18)</f>
        <v>Baja - Leve</v>
      </c>
      <c r="AM18" s="40" t="str">
        <f>+VLOOKUP(AL18,Datos!$J$4:$K$28,2,)</f>
        <v>BAJO</v>
      </c>
      <c r="AN18" s="180"/>
      <c r="AO18" s="129"/>
      <c r="AP18" s="175"/>
      <c r="AQ18" s="263"/>
      <c r="AR18" s="264"/>
      <c r="AS18" s="131"/>
      <c r="AT18" s="160">
        <v>46156</v>
      </c>
      <c r="AU18" s="162" t="s">
        <v>106</v>
      </c>
      <c r="AV18" s="258"/>
      <c r="AW18" s="258"/>
      <c r="AX18" s="261"/>
      <c r="AY18" s="132"/>
      <c r="AZ18" s="163" t="s">
        <v>107</v>
      </c>
      <c r="BA18" s="173"/>
    </row>
    <row r="19" spans="1:53" ht="353.25" customHeight="1">
      <c r="A19" s="189"/>
      <c r="B19" s="190"/>
      <c r="C19" s="191"/>
      <c r="D19" s="191"/>
      <c r="E19" s="191"/>
      <c r="F19" s="191"/>
      <c r="G19" s="192"/>
      <c r="H19" s="193"/>
      <c r="I19" s="185"/>
      <c r="J19" s="186"/>
      <c r="K19" s="194"/>
      <c r="L19" s="193"/>
      <c r="M19" s="185"/>
      <c r="N19" s="185"/>
      <c r="O19" s="179"/>
      <c r="P19" s="129"/>
      <c r="Q19" s="130">
        <v>3</v>
      </c>
      <c r="R19" s="117" t="s">
        <v>108</v>
      </c>
      <c r="S19" s="124" t="s">
        <v>109</v>
      </c>
      <c r="T19" s="125" t="s">
        <v>110</v>
      </c>
      <c r="U19" s="117" t="s">
        <v>111</v>
      </c>
      <c r="V19" s="117" t="s">
        <v>112</v>
      </c>
      <c r="W19" s="117" t="s">
        <v>113</v>
      </c>
      <c r="X19" s="33" t="str">
        <f t="shared" si="3"/>
        <v>Probabilidad</v>
      </c>
      <c r="Y19" s="6" t="s">
        <v>104</v>
      </c>
      <c r="Z19" s="6" t="s">
        <v>114</v>
      </c>
      <c r="AA19" s="34" t="str">
        <f t="shared" si="0"/>
        <v>40%</v>
      </c>
      <c r="AB19" s="41" t="s">
        <v>85</v>
      </c>
      <c r="AC19" s="41" t="s">
        <v>115</v>
      </c>
      <c r="AD19" s="6" t="s">
        <v>87</v>
      </c>
      <c r="AE19" s="8" t="s">
        <v>88</v>
      </c>
      <c r="AF19" s="8" t="str">
        <f t="shared" si="4"/>
        <v>Correo electrónico enviado a los conductores o en el Acta de Verificación de los excesos de los límites de velocidad.</v>
      </c>
      <c r="AG19" s="35">
        <f t="shared" si="5"/>
        <v>0.1512</v>
      </c>
      <c r="AH19" s="36" t="str">
        <f t="shared" si="1"/>
        <v>Muy Baja</v>
      </c>
      <c r="AI19" s="37">
        <f t="shared" si="6"/>
        <v>0.1512</v>
      </c>
      <c r="AJ19" s="38" t="str">
        <f t="shared" si="2"/>
        <v>Leve</v>
      </c>
      <c r="AK19" s="35">
        <f t="shared" si="7"/>
        <v>0.2</v>
      </c>
      <c r="AL19" s="39" t="str">
        <f t="shared" si="8"/>
        <v>Muy Baja - Leve</v>
      </c>
      <c r="AM19" s="40" t="str">
        <f>+VLOOKUP(AL19,Datos!$J$4:$K$28,2,)</f>
        <v>BAJO</v>
      </c>
      <c r="AN19" s="180"/>
      <c r="AO19" s="129"/>
      <c r="AP19" s="175"/>
      <c r="AQ19" s="263"/>
      <c r="AR19" s="264"/>
      <c r="AS19" s="131"/>
      <c r="AT19" s="160">
        <v>46156</v>
      </c>
      <c r="AU19" s="162" t="s">
        <v>116</v>
      </c>
      <c r="AV19" s="258"/>
      <c r="AW19" s="258"/>
      <c r="AX19" s="261"/>
      <c r="AY19" s="132"/>
      <c r="AZ19" s="163" t="s">
        <v>117</v>
      </c>
      <c r="BA19" s="173"/>
    </row>
    <row r="20" spans="1:53" ht="297.75" customHeight="1">
      <c r="A20" s="189"/>
      <c r="B20" s="190"/>
      <c r="C20" s="191"/>
      <c r="D20" s="191"/>
      <c r="E20" s="191"/>
      <c r="F20" s="191"/>
      <c r="G20" s="192"/>
      <c r="H20" s="193"/>
      <c r="I20" s="185"/>
      <c r="J20" s="186"/>
      <c r="K20" s="194"/>
      <c r="L20" s="193"/>
      <c r="M20" s="185"/>
      <c r="N20" s="185"/>
      <c r="O20" s="179"/>
      <c r="P20" s="129"/>
      <c r="Q20" s="130">
        <v>4</v>
      </c>
      <c r="R20" s="117" t="s">
        <v>118</v>
      </c>
      <c r="S20" s="124" t="s">
        <v>119</v>
      </c>
      <c r="T20" s="125" t="s">
        <v>120</v>
      </c>
      <c r="U20" s="117" t="s">
        <v>121</v>
      </c>
      <c r="V20" s="117" t="s">
        <v>122</v>
      </c>
      <c r="W20" s="117" t="s">
        <v>123</v>
      </c>
      <c r="X20" s="33" t="str">
        <f t="shared" si="3"/>
        <v>Probabilidad</v>
      </c>
      <c r="Y20" s="6" t="s">
        <v>83</v>
      </c>
      <c r="Z20" s="6" t="s">
        <v>84</v>
      </c>
      <c r="AA20" s="34" t="str">
        <f t="shared" si="0"/>
        <v>40%</v>
      </c>
      <c r="AB20" s="8" t="s">
        <v>85</v>
      </c>
      <c r="AC20" s="41" t="s">
        <v>124</v>
      </c>
      <c r="AD20" s="6" t="s">
        <v>87</v>
      </c>
      <c r="AE20" s="8" t="s">
        <v>88</v>
      </c>
      <c r="AF20" s="8" t="str">
        <f t="shared" si="4"/>
        <v>Formato Conglomerado y trazabilidad  de servicios A-GSA-FT-014
Correo electrónico con solicitud de ajuste (Cuando aplique)</v>
      </c>
      <c r="AG20" s="35">
        <f t="shared" si="5"/>
        <v>9.0719999999999995E-2</v>
      </c>
      <c r="AH20" s="36" t="str">
        <f t="shared" si="1"/>
        <v>Muy Baja</v>
      </c>
      <c r="AI20" s="37">
        <f t="shared" si="6"/>
        <v>9.0719999999999995E-2</v>
      </c>
      <c r="AJ20" s="38" t="str">
        <f t="shared" si="2"/>
        <v>Leve</v>
      </c>
      <c r="AK20" s="35">
        <f t="shared" si="7"/>
        <v>0.2</v>
      </c>
      <c r="AL20" s="39" t="str">
        <f t="shared" si="8"/>
        <v>Muy Baja - Leve</v>
      </c>
      <c r="AM20" s="40" t="str">
        <f>+VLOOKUP(AL20,Datos!$J$4:$K$28,2,)</f>
        <v>BAJO</v>
      </c>
      <c r="AN20" s="180"/>
      <c r="AO20" s="129"/>
      <c r="AP20" s="175"/>
      <c r="AQ20" s="263"/>
      <c r="AR20" s="264"/>
      <c r="AS20" s="131"/>
      <c r="AT20" s="160">
        <v>46156</v>
      </c>
      <c r="AU20" s="162" t="s">
        <v>125</v>
      </c>
      <c r="AV20" s="258"/>
      <c r="AW20" s="258"/>
      <c r="AX20" s="261"/>
      <c r="AY20" s="132"/>
      <c r="AZ20" s="163" t="s">
        <v>126</v>
      </c>
      <c r="BA20" s="173"/>
    </row>
    <row r="21" spans="1:53" ht="381" customHeight="1">
      <c r="A21" s="189"/>
      <c r="B21" s="190"/>
      <c r="C21" s="191"/>
      <c r="D21" s="191"/>
      <c r="E21" s="191"/>
      <c r="F21" s="191"/>
      <c r="G21" s="192"/>
      <c r="H21" s="193"/>
      <c r="I21" s="185"/>
      <c r="J21" s="186"/>
      <c r="K21" s="194"/>
      <c r="L21" s="193"/>
      <c r="M21" s="185"/>
      <c r="N21" s="185"/>
      <c r="O21" s="179"/>
      <c r="P21" s="129"/>
      <c r="Q21" s="130">
        <v>5</v>
      </c>
      <c r="R21" s="117" t="s">
        <v>127</v>
      </c>
      <c r="S21" s="124" t="s">
        <v>128</v>
      </c>
      <c r="T21" s="125" t="s">
        <v>129</v>
      </c>
      <c r="U21" s="117" t="s">
        <v>130</v>
      </c>
      <c r="V21" s="117" t="s">
        <v>131</v>
      </c>
      <c r="W21" s="117" t="s">
        <v>132</v>
      </c>
      <c r="X21" s="33" t="str">
        <f t="shared" si="3"/>
        <v>Impacto</v>
      </c>
      <c r="Y21" s="6" t="s">
        <v>133</v>
      </c>
      <c r="Z21" s="6" t="s">
        <v>84</v>
      </c>
      <c r="AA21" s="34" t="str">
        <f t="shared" si="0"/>
        <v>25%</v>
      </c>
      <c r="AB21" s="8" t="s">
        <v>85</v>
      </c>
      <c r="AC21" s="41" t="s">
        <v>134</v>
      </c>
      <c r="AD21" s="6" t="s">
        <v>87</v>
      </c>
      <c r="AE21" s="8" t="s">
        <v>88</v>
      </c>
      <c r="AF21" s="8" t="str">
        <f t="shared" si="4"/>
        <v>Documentos de la solicitud de la reclamación realizada</v>
      </c>
      <c r="AG21" s="35">
        <f t="shared" si="5"/>
        <v>9.0719999999999995E-2</v>
      </c>
      <c r="AH21" s="36" t="str">
        <f t="shared" si="1"/>
        <v>Muy Baja</v>
      </c>
      <c r="AI21" s="37">
        <f t="shared" si="6"/>
        <v>9.0719999999999995E-2</v>
      </c>
      <c r="AJ21" s="38" t="str">
        <f t="shared" si="2"/>
        <v>Leve</v>
      </c>
      <c r="AK21" s="35">
        <f t="shared" si="7"/>
        <v>0.15000000000000002</v>
      </c>
      <c r="AL21" s="39" t="str">
        <f t="shared" si="8"/>
        <v>Muy Baja - Leve</v>
      </c>
      <c r="AM21" s="40" t="str">
        <f>+VLOOKUP(AL21,Datos!$J$4:$K$28,2,)</f>
        <v>BAJO</v>
      </c>
      <c r="AN21" s="180"/>
      <c r="AO21" s="129"/>
      <c r="AP21" s="175"/>
      <c r="AQ21" s="263"/>
      <c r="AR21" s="264"/>
      <c r="AS21" s="131"/>
      <c r="AT21" s="160">
        <v>46156</v>
      </c>
      <c r="AU21" s="162" t="s">
        <v>135</v>
      </c>
      <c r="AV21" s="259"/>
      <c r="AW21" s="259"/>
      <c r="AX21" s="262"/>
      <c r="AY21" s="132"/>
      <c r="AZ21" s="163" t="s">
        <v>136</v>
      </c>
      <c r="BA21" s="173"/>
    </row>
    <row r="22" spans="1:53" ht="93.75" customHeight="1">
      <c r="B22" s="135"/>
      <c r="C22" s="136"/>
      <c r="D22" s="136"/>
      <c r="E22" s="136"/>
      <c r="F22" s="136"/>
      <c r="G22" s="135"/>
      <c r="H22" s="135"/>
      <c r="I22" s="137"/>
      <c r="J22" s="138"/>
      <c r="K22" s="139"/>
      <c r="L22" s="135"/>
      <c r="M22" s="137"/>
      <c r="N22" s="137"/>
      <c r="O22" s="140"/>
      <c r="P22" s="2"/>
      <c r="Q22" s="141"/>
      <c r="R22" s="25"/>
      <c r="S22" s="25"/>
      <c r="T22" s="25"/>
      <c r="U22" s="25"/>
      <c r="V22" s="25"/>
      <c r="W22" s="25"/>
      <c r="X22" s="141"/>
      <c r="Y22" s="142"/>
      <c r="Z22" s="142"/>
      <c r="AA22" s="143"/>
      <c r="AB22" s="144"/>
      <c r="AC22" s="145"/>
      <c r="AD22" s="142"/>
      <c r="AE22" s="144"/>
      <c r="AF22" s="144"/>
      <c r="AG22" s="146"/>
      <c r="AH22" s="142"/>
      <c r="AI22" s="147"/>
      <c r="AJ22" s="148"/>
      <c r="AK22" s="146"/>
      <c r="AL22" s="149"/>
      <c r="AM22" s="150"/>
      <c r="AN22" s="151"/>
      <c r="AO22" s="2"/>
      <c r="AP22" s="152"/>
      <c r="AQ22" s="152"/>
      <c r="AR22" s="152"/>
      <c r="AT22" s="153"/>
      <c r="AU22" s="154"/>
      <c r="AV22" s="155"/>
      <c r="AW22" s="156"/>
      <c r="AX22" s="157"/>
      <c r="AY22" s="30"/>
      <c r="AZ22" s="155"/>
      <c r="BA22" s="158"/>
    </row>
    <row r="23" spans="1:53" ht="20.45">
      <c r="A23" s="174" t="s">
        <v>137</v>
      </c>
      <c r="B23" s="174"/>
      <c r="C23" s="174"/>
      <c r="D23" s="174"/>
      <c r="E23" s="174"/>
      <c r="F23" s="174"/>
      <c r="G23" s="174"/>
      <c r="H23" s="174"/>
      <c r="P23" s="2"/>
      <c r="BA23" s="118" t="s">
        <v>138</v>
      </c>
    </row>
    <row r="24" spans="1:53">
      <c r="P24" s="2"/>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row r="29" spans="1:53" s="1" customFormat="1">
      <c r="A29"/>
      <c r="B29"/>
      <c r="C29"/>
      <c r="D29"/>
      <c r="E29"/>
      <c r="F29"/>
      <c r="G29"/>
      <c r="H29"/>
      <c r="I29"/>
      <c r="J29"/>
      <c r="K29"/>
      <c r="P29" s="2"/>
      <c r="AN29" s="4"/>
      <c r="AO29" s="4"/>
      <c r="AP29" s="4"/>
      <c r="AS29"/>
      <c r="AT29"/>
      <c r="AU29"/>
      <c r="AV29"/>
      <c r="AW29"/>
      <c r="AX29"/>
      <c r="AY29"/>
      <c r="AZ29"/>
      <c r="BA29"/>
    </row>
    <row r="30" spans="1:53" s="1" customFormat="1">
      <c r="A30"/>
      <c r="B30"/>
      <c r="C30"/>
      <c r="D30"/>
      <c r="E30"/>
      <c r="F30"/>
      <c r="G30"/>
      <c r="H30"/>
      <c r="I30"/>
      <c r="J30"/>
      <c r="K30"/>
      <c r="P30" s="2"/>
      <c r="AN30" s="4"/>
      <c r="AO30" s="4"/>
      <c r="AP30" s="4"/>
      <c r="AS30"/>
      <c r="AT30"/>
      <c r="AU30"/>
      <c r="AV30"/>
      <c r="AW30"/>
      <c r="AX30"/>
      <c r="AY30"/>
      <c r="AZ30"/>
      <c r="BA30"/>
    </row>
    <row r="31" spans="1:53" s="1" customFormat="1">
      <c r="A31"/>
      <c r="B31"/>
      <c r="C31"/>
      <c r="D31"/>
      <c r="E31"/>
      <c r="F31"/>
      <c r="G31"/>
      <c r="H31"/>
      <c r="I31"/>
      <c r="J31"/>
      <c r="K31"/>
      <c r="P31" s="2"/>
      <c r="AN31" s="4"/>
      <c r="AO31" s="4"/>
      <c r="AP31" s="4"/>
      <c r="AS31"/>
      <c r="AT31"/>
      <c r="AU31"/>
      <c r="AV31"/>
      <c r="AW31"/>
      <c r="AX31"/>
      <c r="AY31"/>
      <c r="AZ31"/>
      <c r="BA31"/>
    </row>
  </sheetData>
  <mergeCells count="51">
    <mergeCell ref="AW17:AW21"/>
    <mergeCell ref="AX17:AX21"/>
    <mergeCell ref="BA17:BA21"/>
    <mergeCell ref="A23:H23"/>
    <mergeCell ref="O17:O21"/>
    <mergeCell ref="AN17:AN21"/>
    <mergeCell ref="AP17:AP21"/>
    <mergeCell ref="AQ17:AQ21"/>
    <mergeCell ref="AR17:AR21"/>
    <mergeCell ref="AV17:AV21"/>
    <mergeCell ref="N17:N21"/>
    <mergeCell ref="AB16:AC16"/>
    <mergeCell ref="AE16:AF16"/>
    <mergeCell ref="A17:A21"/>
    <mergeCell ref="B17:B21"/>
    <mergeCell ref="C17:C21"/>
    <mergeCell ref="D17:D21"/>
    <mergeCell ref="E17:E21"/>
    <mergeCell ref="F17:F21"/>
    <mergeCell ref="H17:H21"/>
    <mergeCell ref="G17:G21"/>
    <mergeCell ref="I17:I21"/>
    <mergeCell ref="J17:J21"/>
    <mergeCell ref="K17:K21"/>
    <mergeCell ref="L17:L21"/>
    <mergeCell ref="M17:M21"/>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phoneticPr fontId="24" type="noConversion"/>
  <conditionalFormatting sqref="H17:H22">
    <cfRule type="cellIs" dxfId="48" priority="20" operator="equal">
      <formula>"Muy Alta"</formula>
    </cfRule>
    <cfRule type="cellIs" dxfId="47" priority="21" operator="equal">
      <formula>"Alta"</formula>
    </cfRule>
    <cfRule type="cellIs" dxfId="46" priority="22" operator="equal">
      <formula>"Media"</formula>
    </cfRule>
    <cfRule type="cellIs" dxfId="45" priority="23" operator="equal">
      <formula>"Muy Baja"</formula>
    </cfRule>
    <cfRule type="cellIs" dxfId="44" priority="24" operator="equal">
      <formula>"Baja"</formula>
    </cfRule>
  </conditionalFormatting>
  <conditionalFormatting sqref="L17:L22">
    <cfRule type="cellIs" dxfId="43" priority="15" operator="equal">
      <formula>"Leve"</formula>
    </cfRule>
    <cfRule type="cellIs" dxfId="42" priority="16" operator="equal">
      <formula>"Catastrófico"</formula>
    </cfRule>
    <cfRule type="cellIs" dxfId="41" priority="17" operator="equal">
      <formula>"Mayor"</formula>
    </cfRule>
    <cfRule type="cellIs" dxfId="40" priority="18" operator="equal">
      <formula>"Moderado"</formula>
    </cfRule>
    <cfRule type="cellIs" dxfId="39" priority="19" operator="equal">
      <formula>"Menor"</formula>
    </cfRule>
  </conditionalFormatting>
  <conditionalFormatting sqref="O17:O22 AM17:AM22">
    <cfRule type="cellIs" dxfId="38" priority="11" operator="equal">
      <formula>"EXTREMO"</formula>
    </cfRule>
    <cfRule type="cellIs" dxfId="37" priority="12" operator="equal">
      <formula>"ALTO"</formula>
    </cfRule>
    <cfRule type="cellIs" dxfId="36" priority="13" operator="equal">
      <formula>"BAJO"</formula>
    </cfRule>
    <cfRule type="cellIs" dxfId="35" priority="14" operator="equal">
      <formula>"MODERADO"</formula>
    </cfRule>
  </conditionalFormatting>
  <conditionalFormatting sqref="AH17:AH22">
    <cfRule type="cellIs" dxfId="34" priority="6" operator="equal">
      <formula>"Muy Baja"</formula>
    </cfRule>
    <cfRule type="cellIs" dxfId="33" priority="7" operator="equal">
      <formula>"Baja"</formula>
    </cfRule>
    <cfRule type="cellIs" dxfId="32" priority="8" operator="equal">
      <formula>"Media"</formula>
    </cfRule>
    <cfRule type="cellIs" dxfId="31" priority="9" operator="equal">
      <formula>"Muy Alta"</formula>
    </cfRule>
    <cfRule type="cellIs" dxfId="30" priority="10" operator="equal">
      <formula>"Alta"</formula>
    </cfRule>
  </conditionalFormatting>
  <conditionalFormatting sqref="AJ17:AJ22">
    <cfRule type="cellIs" dxfId="29" priority="1" operator="equal">
      <formula>"Catastrófico"</formula>
    </cfRule>
    <cfRule type="cellIs" dxfId="28" priority="2" operator="equal">
      <formula>"Mayor"</formula>
    </cfRule>
    <cfRule type="cellIs" dxfId="27" priority="3" operator="equal">
      <formula>"Moderado"</formula>
    </cfRule>
    <cfRule type="cellIs" dxfId="26" priority="4" operator="equal">
      <formula>"Menor"</formula>
    </cfRule>
    <cfRule type="cellIs" dxfId="25" priority="5" operator="equal">
      <formula>"Leve"</formula>
    </cfRule>
  </conditionalFormatting>
  <hyperlinks>
    <hyperlink ref="A14:O15" location="Instructivo!A1" display="IDENTIFICACIÓN DEL RIESGO" xr:uid="{00000000-0004-0000-0000-000000000000}"/>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Datos!$A$4:$A$6</xm:f>
          </x14:formula1>
          <xm:sqref>B17:B22</xm:sqref>
        </x14:dataValidation>
        <x14:dataValidation type="list" allowBlank="1" showInputMessage="1" showErrorMessage="1" xr:uid="{00000000-0002-0000-0000-000001000000}">
          <x14:formula1>
            <xm:f>Datos!$O$3:$O$15</xm:f>
          </x14:formula1>
          <xm:sqref>J17:J22</xm:sqref>
        </x14:dataValidation>
        <x14:dataValidation type="list" allowBlank="1" showInputMessage="1" showErrorMessage="1" xr:uid="{00000000-0002-0000-0000-000002000000}">
          <x14:formula1>
            <xm:f>Datos!$P$19:$P$22</xm:f>
          </x14:formula1>
          <xm:sqref>Y17:Y22</xm:sqref>
        </x14:dataValidation>
        <x14:dataValidation type="list" allowBlank="1" showInputMessage="1" showErrorMessage="1" xr:uid="{00000000-0002-0000-0000-000003000000}">
          <x14:formula1>
            <xm:f>Datos!$P$25:$P$26</xm:f>
          </x14:formula1>
          <xm:sqref>Z17:Z22</xm:sqref>
        </x14:dataValidation>
        <x14:dataValidation type="list" allowBlank="1" showInputMessage="1" showErrorMessage="1" xr:uid="{00000000-0002-0000-0000-000004000000}">
          <x14:formula1>
            <xm:f>Instructivo!$E$3:$E$9</xm:f>
          </x14:formula1>
          <xm:sqref>F17:F22</xm:sqref>
        </x14:dataValidation>
        <x14:dataValidation type="list" allowBlank="1" showInputMessage="1" showErrorMessage="1" xr:uid="{00000000-0002-0000-0000-000005000000}">
          <x14:formula1>
            <xm:f>Datos!$P$30:$P$31</xm:f>
          </x14:formula1>
          <xm:sqref>AB17:AB22</xm:sqref>
        </x14:dataValidation>
        <x14:dataValidation type="list" allowBlank="1" showInputMessage="1" showErrorMessage="1" xr:uid="{00000000-0002-0000-0000-000006000000}">
          <x14:formula1>
            <xm:f>Datos!$P$34:$P$35</xm:f>
          </x14:formula1>
          <xm:sqref>AD17:AD22</xm:sqref>
        </x14:dataValidation>
        <x14:dataValidation type="list" allowBlank="1" showInputMessage="1" showErrorMessage="1" xr:uid="{00000000-0002-0000-0000-000007000000}">
          <x14:formula1>
            <xm:f>Datos!$P$38:$P$39</xm:f>
          </x14:formula1>
          <xm:sqref>AE17:AE22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BA30"/>
  <sheetViews>
    <sheetView showGridLines="0" tabSelected="1" topLeftCell="W18" zoomScale="60" zoomScaleNormal="60" zoomScaleSheetLayoutView="80" workbookViewId="0">
      <selection activeCell="AP19" sqref="AP19:AP20"/>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18" width="41" style="1" customWidth="1"/>
    <col min="19" max="19" width="34.85546875" style="1" customWidth="1"/>
    <col min="20" max="20" width="36.140625" style="1" customWidth="1"/>
    <col min="21" max="21" width="42.85546875" style="1" customWidth="1"/>
    <col min="22" max="22" width="40.5703125" style="1" customWidth="1"/>
    <col min="23" max="23" width="41.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40.140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27"/>
      <c r="B1" s="228"/>
      <c r="C1" s="233" t="s">
        <v>7</v>
      </c>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5"/>
      <c r="AX1" s="227" t="s">
        <v>8</v>
      </c>
      <c r="AY1" s="228"/>
      <c r="AZ1" s="245" t="s">
        <v>9</v>
      </c>
      <c r="BA1" s="246"/>
    </row>
    <row r="2" spans="1:53" ht="15.75" customHeight="1" thickBot="1">
      <c r="A2" s="229"/>
      <c r="B2" s="230"/>
      <c r="C2" s="236"/>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8"/>
      <c r="AX2" s="231"/>
      <c r="AY2" s="232"/>
      <c r="AZ2" s="247"/>
      <c r="BA2" s="248"/>
    </row>
    <row r="3" spans="1:53" ht="15.75" customHeight="1">
      <c r="A3" s="229"/>
      <c r="B3" s="230"/>
      <c r="C3" s="236"/>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8"/>
      <c r="AX3" s="227" t="s">
        <v>10</v>
      </c>
      <c r="AY3" s="228"/>
      <c r="AZ3" s="249" t="s">
        <v>11</v>
      </c>
      <c r="BA3" s="250"/>
    </row>
    <row r="4" spans="1:53" ht="16.5" customHeight="1" thickBot="1">
      <c r="A4" s="229"/>
      <c r="B4" s="230"/>
      <c r="C4" s="239"/>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1"/>
      <c r="AX4" s="231"/>
      <c r="AY4" s="232"/>
      <c r="AZ4" s="251"/>
      <c r="BA4" s="252"/>
    </row>
    <row r="5" spans="1:53" ht="20.45" customHeight="1">
      <c r="A5" s="229"/>
      <c r="B5" s="230"/>
      <c r="C5" s="236" t="s">
        <v>12</v>
      </c>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8"/>
      <c r="AX5" s="227" t="s">
        <v>13</v>
      </c>
      <c r="AY5" s="228"/>
      <c r="AZ5" s="227" t="s">
        <v>139</v>
      </c>
      <c r="BA5" s="228"/>
    </row>
    <row r="6" spans="1:53" ht="15" customHeight="1" thickBot="1">
      <c r="A6" s="229"/>
      <c r="B6" s="230"/>
      <c r="C6" s="236"/>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8"/>
      <c r="AX6" s="231"/>
      <c r="AY6" s="232"/>
      <c r="AZ6" s="231"/>
      <c r="BA6" s="232"/>
    </row>
    <row r="7" spans="1:53" ht="15.75" customHeight="1">
      <c r="A7" s="229"/>
      <c r="B7" s="230"/>
      <c r="C7" s="236"/>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8"/>
      <c r="AX7" s="227" t="s">
        <v>15</v>
      </c>
      <c r="AY7" s="228"/>
      <c r="AZ7" s="253">
        <v>45828</v>
      </c>
      <c r="BA7" s="246"/>
    </row>
    <row r="8" spans="1:53" ht="16.5" customHeight="1" thickBot="1">
      <c r="A8" s="231"/>
      <c r="B8" s="232"/>
      <c r="C8" s="239"/>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1"/>
      <c r="AX8" s="231"/>
      <c r="AY8" s="232"/>
      <c r="AZ8" s="247"/>
      <c r="BA8" s="248"/>
    </row>
    <row r="10" spans="1:53" ht="54" customHeight="1">
      <c r="A10" s="223" t="s">
        <v>16</v>
      </c>
      <c r="B10" s="223"/>
      <c r="C10" s="223"/>
      <c r="D10" s="242" t="s">
        <v>17</v>
      </c>
      <c r="E10" s="243"/>
      <c r="F10" s="243"/>
      <c r="G10" s="243"/>
      <c r="H10" s="243"/>
      <c r="I10" s="243"/>
      <c r="J10" s="243"/>
      <c r="K10" s="243"/>
      <c r="L10" s="243"/>
      <c r="M10" s="244"/>
      <c r="N10" s="24"/>
      <c r="AN10" s="1"/>
      <c r="AO10" s="1"/>
      <c r="AP10" s="1"/>
    </row>
    <row r="11" spans="1:53" s="3" customFormat="1" ht="75" customHeight="1">
      <c r="A11" s="223" t="s">
        <v>18</v>
      </c>
      <c r="B11" s="223"/>
      <c r="C11" s="223"/>
      <c r="D11" s="224" t="s">
        <v>19</v>
      </c>
      <c r="E11" s="225"/>
      <c r="F11" s="225"/>
      <c r="G11" s="225"/>
      <c r="H11" s="225"/>
      <c r="I11" s="225"/>
      <c r="J11" s="225"/>
      <c r="K11" s="225"/>
      <c r="L11" s="225"/>
      <c r="M11" s="226"/>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23" t="s">
        <v>20</v>
      </c>
      <c r="B12" s="223"/>
      <c r="C12" s="223"/>
      <c r="D12" s="224" t="s">
        <v>21</v>
      </c>
      <c r="E12" s="225"/>
      <c r="F12" s="225"/>
      <c r="G12" s="225"/>
      <c r="H12" s="225"/>
      <c r="I12" s="225"/>
      <c r="J12" s="225"/>
      <c r="K12" s="225"/>
      <c r="L12" s="225"/>
      <c r="M12" s="226"/>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95" t="s">
        <v>22</v>
      </c>
      <c r="B14" s="196"/>
      <c r="C14" s="196"/>
      <c r="D14" s="196"/>
      <c r="E14" s="196"/>
      <c r="F14" s="196"/>
      <c r="G14" s="196"/>
      <c r="H14" s="196"/>
      <c r="I14" s="196"/>
      <c r="J14" s="196"/>
      <c r="K14" s="196"/>
      <c r="L14" s="196"/>
      <c r="M14" s="196"/>
      <c r="N14" s="197"/>
      <c r="O14" s="198"/>
      <c r="P14" s="2"/>
      <c r="Q14" s="203" t="s">
        <v>23</v>
      </c>
      <c r="R14" s="204"/>
      <c r="S14" s="204"/>
      <c r="T14" s="204"/>
      <c r="U14" s="204"/>
      <c r="V14" s="204"/>
      <c r="W14" s="204"/>
      <c r="X14" s="204"/>
      <c r="Y14" s="205"/>
      <c r="Z14" s="205"/>
      <c r="AA14" s="205"/>
      <c r="AB14" s="205"/>
      <c r="AC14" s="205"/>
      <c r="AD14" s="205"/>
      <c r="AE14" s="205"/>
      <c r="AF14" s="204"/>
      <c r="AG14" s="204"/>
      <c r="AH14" s="204"/>
      <c r="AI14" s="204"/>
      <c r="AJ14" s="204"/>
      <c r="AK14" s="204"/>
      <c r="AL14" s="204"/>
      <c r="AM14" s="204"/>
      <c r="AN14" s="206"/>
      <c r="AO14" s="2"/>
      <c r="AP14" s="207" t="s">
        <v>24</v>
      </c>
      <c r="AQ14" s="208"/>
      <c r="AR14" s="209"/>
      <c r="AT14" s="213" t="s">
        <v>25</v>
      </c>
      <c r="AU14" s="214"/>
      <c r="AV14" s="214"/>
      <c r="AW14" s="214"/>
      <c r="AX14" s="215"/>
      <c r="AY14" s="30"/>
      <c r="AZ14" s="207" t="s">
        <v>26</v>
      </c>
      <c r="BA14" s="209"/>
    </row>
    <row r="15" spans="1:53">
      <c r="A15" s="199"/>
      <c r="B15" s="200"/>
      <c r="C15" s="200"/>
      <c r="D15" s="200"/>
      <c r="E15" s="200"/>
      <c r="F15" s="200"/>
      <c r="G15" s="200"/>
      <c r="H15" s="200"/>
      <c r="I15" s="200"/>
      <c r="J15" s="200"/>
      <c r="K15" s="200"/>
      <c r="L15" s="200"/>
      <c r="M15" s="200"/>
      <c r="N15" s="201"/>
      <c r="O15" s="202"/>
      <c r="P15" s="2"/>
      <c r="Q15" s="26"/>
      <c r="R15" s="27"/>
      <c r="S15" s="27"/>
      <c r="T15" s="27"/>
      <c r="U15" s="27"/>
      <c r="V15" s="27"/>
      <c r="W15" s="27"/>
      <c r="X15" s="27"/>
      <c r="Y15" s="218" t="s">
        <v>27</v>
      </c>
      <c r="Z15" s="219"/>
      <c r="AA15" s="220"/>
      <c r="AB15" s="218" t="s">
        <v>28</v>
      </c>
      <c r="AC15" s="219"/>
      <c r="AD15" s="219"/>
      <c r="AE15" s="219"/>
      <c r="AF15" s="220"/>
      <c r="AG15" s="221"/>
      <c r="AH15" s="221"/>
      <c r="AI15" s="221"/>
      <c r="AJ15" s="221"/>
      <c r="AK15" s="221"/>
      <c r="AL15" s="221"/>
      <c r="AM15" s="221"/>
      <c r="AN15" s="222"/>
      <c r="AO15" s="2"/>
      <c r="AP15" s="210"/>
      <c r="AQ15" s="211"/>
      <c r="AR15" s="212"/>
      <c r="AT15" s="216"/>
      <c r="AU15" s="211"/>
      <c r="AV15" s="211"/>
      <c r="AW15" s="211"/>
      <c r="AX15" s="217"/>
      <c r="AY15" s="30"/>
      <c r="AZ15" s="210"/>
      <c r="BA15" s="212"/>
    </row>
    <row r="16" spans="1:53" s="5" customFormat="1" ht="166.5" customHeight="1">
      <c r="A16" s="9" t="s">
        <v>29</v>
      </c>
      <c r="B16" s="10" t="s">
        <v>30</v>
      </c>
      <c r="C16" s="11" t="s">
        <v>31</v>
      </c>
      <c r="D16" s="11" t="s">
        <v>32</v>
      </c>
      <c r="E16" s="12" t="s">
        <v>33</v>
      </c>
      <c r="F16" s="19" t="s">
        <v>34</v>
      </c>
      <c r="G16" s="32" t="s">
        <v>35</v>
      </c>
      <c r="H16" s="12" t="s">
        <v>36</v>
      </c>
      <c r="I16" s="11" t="s">
        <v>37</v>
      </c>
      <c r="J16" s="11" t="s">
        <v>38</v>
      </c>
      <c r="K16" s="12" t="s">
        <v>39</v>
      </c>
      <c r="L16" s="12" t="s">
        <v>40</v>
      </c>
      <c r="M16" s="11" t="s">
        <v>37</v>
      </c>
      <c r="N16" s="11" t="s">
        <v>41</v>
      </c>
      <c r="O16" s="13" t="s">
        <v>42</v>
      </c>
      <c r="P16" s="2"/>
      <c r="Q16" s="14" t="s">
        <v>43</v>
      </c>
      <c r="R16" s="127" t="s">
        <v>44</v>
      </c>
      <c r="S16" s="127" t="s">
        <v>45</v>
      </c>
      <c r="T16" s="127" t="s">
        <v>46</v>
      </c>
      <c r="U16" s="127" t="s">
        <v>47</v>
      </c>
      <c r="V16" s="127" t="s">
        <v>48</v>
      </c>
      <c r="W16" s="127" t="s">
        <v>49</v>
      </c>
      <c r="X16" s="28" t="s">
        <v>50</v>
      </c>
      <c r="Y16" s="123" t="s">
        <v>51</v>
      </c>
      <c r="Z16" s="123" t="s">
        <v>52</v>
      </c>
      <c r="AA16" s="16" t="s">
        <v>53</v>
      </c>
      <c r="AB16" s="187" t="s">
        <v>54</v>
      </c>
      <c r="AC16" s="188"/>
      <c r="AD16" s="16" t="s">
        <v>55</v>
      </c>
      <c r="AE16" s="187" t="s">
        <v>56</v>
      </c>
      <c r="AF16" s="188"/>
      <c r="AG16" s="17" t="s">
        <v>57</v>
      </c>
      <c r="AH16" s="17" t="s">
        <v>58</v>
      </c>
      <c r="AI16" s="17" t="s">
        <v>37</v>
      </c>
      <c r="AJ16" s="17" t="s">
        <v>59</v>
      </c>
      <c r="AK16" s="17" t="s">
        <v>37</v>
      </c>
      <c r="AL16" s="17" t="s">
        <v>41</v>
      </c>
      <c r="AM16" s="17" t="s">
        <v>60</v>
      </c>
      <c r="AN16" s="13" t="s">
        <v>61</v>
      </c>
      <c r="AO16" s="2"/>
      <c r="AP16" s="18" t="s">
        <v>62</v>
      </c>
      <c r="AQ16" s="15" t="s">
        <v>63</v>
      </c>
      <c r="AR16" s="29" t="s">
        <v>64</v>
      </c>
      <c r="AT16" s="119" t="s">
        <v>65</v>
      </c>
      <c r="AU16" s="121" t="s">
        <v>66</v>
      </c>
      <c r="AV16" s="121" t="s">
        <v>67</v>
      </c>
      <c r="AW16" s="121" t="s">
        <v>68</v>
      </c>
      <c r="AX16" s="120" t="s">
        <v>69</v>
      </c>
      <c r="AY16" s="31"/>
      <c r="AZ16" s="122" t="s">
        <v>70</v>
      </c>
      <c r="BA16" s="128" t="s">
        <v>71</v>
      </c>
    </row>
    <row r="17" spans="1:53" ht="353.25" customHeight="1">
      <c r="A17" s="189">
        <v>2</v>
      </c>
      <c r="B17" s="190" t="s">
        <v>72</v>
      </c>
      <c r="C17" s="191" t="s">
        <v>140</v>
      </c>
      <c r="D17" s="191" t="s">
        <v>141</v>
      </c>
      <c r="E17" s="191" t="s">
        <v>142</v>
      </c>
      <c r="F17" s="191"/>
      <c r="G17" s="192">
        <v>365</v>
      </c>
      <c r="H17" s="193" t="str">
        <f>IF(G17&lt;=0,"",IF(G17&lt;=2,"Muy Baja",IF(G17&lt;=24,"Baja",IF(G17&lt;=500,"Media",IF(G17&lt;=5000,"Alta","Muy Alta")))))</f>
        <v>Media</v>
      </c>
      <c r="I17" s="185">
        <f>IF(H17="","",IF(H17="Muy Baja",0.2,IF(H17="Baja",0.4,IF(H17="Media",0.6,IF(H17="Alta",0.8,IF(H17="Muy Alta",1,))))))</f>
        <v>0.6</v>
      </c>
      <c r="J17" s="186" t="s">
        <v>143</v>
      </c>
      <c r="K17" s="194" t="str">
        <f>+J17</f>
        <v>El riesgo afecta la imagen de la entidad internamente, de conocimiento general nivel interno, de junta directiva y/o de proveedores</v>
      </c>
      <c r="L17" s="193" t="str">
        <f>+VLOOKUP(K17,Datos!$O$4:$P$15,2,FALSE)</f>
        <v>Menor</v>
      </c>
      <c r="M17" s="185">
        <f>IF(L17="","",IF(L17="Leve",0.2,IF(L17="Menor",0.4,IF(L17="Moderado",0.6,IF(L17="Mayor",0.8,IF(L17="Catastrófico",1,))))))</f>
        <v>0.4</v>
      </c>
      <c r="N17" s="185" t="str">
        <f>+CONCATENATE(H17, " - ", L17)</f>
        <v>Media - Menor</v>
      </c>
      <c r="O17" s="179" t="str">
        <f>+VLOOKUP(N17,Datos!J4:K28,2,)</f>
        <v>MODERADO</v>
      </c>
      <c r="P17" s="129"/>
      <c r="Q17" s="130">
        <v>1</v>
      </c>
      <c r="R17" s="117" t="s">
        <v>144</v>
      </c>
      <c r="S17" s="117" t="s">
        <v>145</v>
      </c>
      <c r="T17" s="117" t="s">
        <v>146</v>
      </c>
      <c r="U17" s="117" t="s">
        <v>147</v>
      </c>
      <c r="V17" s="117" t="s">
        <v>148</v>
      </c>
      <c r="W17" s="117" t="s">
        <v>149</v>
      </c>
      <c r="X17" s="33" t="str">
        <f>IF(OR(Y17="Preventivo",Y17="Detectivo"),"Probabilidad",IF(Y17="Correctivo","Impacto",""))</f>
        <v>Probabilidad</v>
      </c>
      <c r="Y17" s="6" t="s">
        <v>83</v>
      </c>
      <c r="Z17" s="6" t="s">
        <v>84</v>
      </c>
      <c r="AA17" s="34" t="str">
        <f t="shared" ref="AA17:AA20" si="0">IF(AND(Y17="Preventivo",Z17="Automático"),"50%",IF(AND(Y17="Preventivo",Z17="Manual"),"40%",IF(AND(Y17="Detectivo",Z17="Automático"),"40%",IF(AND(Y17="Detectivo",Z17="Manual"),"30%",IF(AND(Y17="Correctivo",Z17="Automático"),"35%",IF(AND(Y17="Correctivo",Z17="Manual"),"25%",""))))))</f>
        <v>40%</v>
      </c>
      <c r="AB17" s="41" t="s">
        <v>150</v>
      </c>
      <c r="AC17" s="41" t="s">
        <v>151</v>
      </c>
      <c r="AD17" s="6" t="s">
        <v>87</v>
      </c>
      <c r="AE17" s="8" t="s">
        <v>88</v>
      </c>
      <c r="AF17" s="8" t="str">
        <f t="shared" ref="AF17:AF20" si="1">+W17</f>
        <v>El reporte en Aranda 
(correo electrónico cuando aplique)</v>
      </c>
      <c r="AG17" s="35">
        <f>IFERROR(IF(X17="Probabilidad",(I17-(+I17*AA17)),IF(X17="Impacto",I17,"")),"")</f>
        <v>0.36</v>
      </c>
      <c r="AH17" s="36" t="str">
        <f t="shared" ref="AH17:AH20" si="2">IFERROR(IF(AG17="","",IF(AG17&lt;=0.2,"Muy Baja",IF(AG17&lt;=0.4,"Baja",IF(AG17&lt;=0.6,"Media",IF(AG17&lt;=0.8,"Alta","Muy Alta"))))),"")</f>
        <v>Baja</v>
      </c>
      <c r="AI17" s="37">
        <f>I17-(AA17*I17)</f>
        <v>0.36</v>
      </c>
      <c r="AJ17" s="38" t="str">
        <f t="shared" ref="AJ17:AJ20" si="3">IFERROR(IF(AK17="","",IF(AK17&lt;=0.2,"Leve",IF(AK17&lt;=0.4,"Menor",IF(AK17&lt;=0.6,"Moderado",IF(AK17&lt;=0.8,"Mayor","Catastrófico"))))),"")</f>
        <v>Menor</v>
      </c>
      <c r="AK17" s="35">
        <f>IFERROR(IF(X17="Impacto",(M17-(+M17*AA17)),IF(X17="Probabilidad",M17,"")),"")</f>
        <v>0.4</v>
      </c>
      <c r="AL17" s="39" t="str">
        <f>+CONCATENATE(AH17, " - ", AJ17)</f>
        <v>Baja - Menor</v>
      </c>
      <c r="AM17" s="40" t="str">
        <f>+VLOOKUP(AL17,Datos!$J$4:$K$28,2,)</f>
        <v>MODERADO</v>
      </c>
      <c r="AN17" s="180" t="s">
        <v>90</v>
      </c>
      <c r="AO17" s="129"/>
      <c r="AP17" s="175" t="s">
        <v>152</v>
      </c>
      <c r="AQ17" s="175" t="s">
        <v>153</v>
      </c>
      <c r="AR17" s="175" t="s">
        <v>154</v>
      </c>
      <c r="AS17" s="131"/>
      <c r="AT17" s="160">
        <v>46156</v>
      </c>
      <c r="AU17" s="163" t="s">
        <v>155</v>
      </c>
      <c r="AV17" s="181" t="s">
        <v>94</v>
      </c>
      <c r="AW17" s="167" t="s">
        <v>95</v>
      </c>
      <c r="AX17" s="170" t="s">
        <v>156</v>
      </c>
      <c r="AY17" s="132"/>
      <c r="AZ17" s="163" t="s">
        <v>157</v>
      </c>
      <c r="BA17" s="173"/>
    </row>
    <row r="18" spans="1:53" ht="353.25" customHeight="1">
      <c r="A18" s="189"/>
      <c r="B18" s="190"/>
      <c r="C18" s="191"/>
      <c r="D18" s="191"/>
      <c r="E18" s="191"/>
      <c r="F18" s="191"/>
      <c r="G18" s="192"/>
      <c r="H18" s="193"/>
      <c r="I18" s="185"/>
      <c r="J18" s="186"/>
      <c r="K18" s="194"/>
      <c r="L18" s="193"/>
      <c r="M18" s="185"/>
      <c r="N18" s="185"/>
      <c r="O18" s="179"/>
      <c r="P18" s="129"/>
      <c r="Q18" s="130">
        <v>2</v>
      </c>
      <c r="R18" s="117" t="s">
        <v>158</v>
      </c>
      <c r="S18" s="117" t="s">
        <v>159</v>
      </c>
      <c r="T18" s="133" t="s">
        <v>160</v>
      </c>
      <c r="U18" s="117" t="s">
        <v>161</v>
      </c>
      <c r="V18" s="117" t="s">
        <v>162</v>
      </c>
      <c r="W18" s="117" t="s">
        <v>163</v>
      </c>
      <c r="X18" s="33" t="str">
        <f t="shared" ref="X18:X20" si="4">IF(OR(Y18="Preventivo",Y18="Detectivo"),"Probabilidad",IF(Y18="Correctivo","Impacto",""))</f>
        <v>Probabilidad</v>
      </c>
      <c r="Y18" s="6" t="s">
        <v>83</v>
      </c>
      <c r="Z18" s="6" t="s">
        <v>84</v>
      </c>
      <c r="AA18" s="34" t="str">
        <f t="shared" si="0"/>
        <v>40%</v>
      </c>
      <c r="AB18" s="41" t="s">
        <v>85</v>
      </c>
      <c r="AC18" s="41" t="s">
        <v>164</v>
      </c>
      <c r="AD18" s="6" t="s">
        <v>87</v>
      </c>
      <c r="AE18" s="8" t="s">
        <v>88</v>
      </c>
      <c r="AF18" s="8" t="str">
        <f t="shared" si="1"/>
        <v>Solicitud de servicio de transporte A-GSA-FT-008
correo electrónico cuando aplique.</v>
      </c>
      <c r="AG18" s="37">
        <f t="shared" ref="AG18:AG20" si="5">IFERROR(IF(AND(X17="Probabilidad",X18="Probabilidad"),(AI17-(+AI17*AA18)),IF(X18="Probabilidad",($I$17-(+$I$17*AA18)),IF(X18="Impacto",AI17,""))),"")</f>
        <v>0.216</v>
      </c>
      <c r="AH18" s="36" t="str">
        <f t="shared" si="2"/>
        <v>Baja</v>
      </c>
      <c r="AI18" s="37">
        <f t="shared" ref="AI18:AI20" si="6">+AG18</f>
        <v>0.216</v>
      </c>
      <c r="AJ18" s="38" t="str">
        <f t="shared" si="3"/>
        <v>Menor</v>
      </c>
      <c r="AK18" s="35">
        <f t="shared" ref="AK18:AK20" si="7">IFERROR(IF(AND(X17="Impacto",X17="Impacto"),(AK17-(+AK17*AA18)),IF(X18="Impacto",($M$17-(+$M$17*AA18)),IF(X18="Probabilidad",AK17,""))),"")</f>
        <v>0.4</v>
      </c>
      <c r="AL18" s="39" t="str">
        <f t="shared" ref="AL18:AL20" si="8">+CONCATENATE(AH18, " - ", AJ18)</f>
        <v>Baja - Menor</v>
      </c>
      <c r="AM18" s="40" t="str">
        <f>+VLOOKUP(AL18,Datos!$J$4:$K$28,2,)</f>
        <v>MODERADO</v>
      </c>
      <c r="AN18" s="180"/>
      <c r="AO18" s="129"/>
      <c r="AP18" s="176"/>
      <c r="AQ18" s="176"/>
      <c r="AR18" s="176"/>
      <c r="AS18" s="131"/>
      <c r="AT18" s="160">
        <v>46156</v>
      </c>
      <c r="AU18" s="164" t="s">
        <v>165</v>
      </c>
      <c r="AV18" s="182"/>
      <c r="AW18" s="168"/>
      <c r="AX18" s="171"/>
      <c r="AY18" s="132"/>
      <c r="AZ18" s="163" t="s">
        <v>166</v>
      </c>
      <c r="BA18" s="173"/>
    </row>
    <row r="19" spans="1:53" ht="381.75" customHeight="1">
      <c r="A19" s="189"/>
      <c r="B19" s="190"/>
      <c r="C19" s="191"/>
      <c r="D19" s="191"/>
      <c r="E19" s="191"/>
      <c r="F19" s="191"/>
      <c r="G19" s="192"/>
      <c r="H19" s="193"/>
      <c r="I19" s="185"/>
      <c r="J19" s="186"/>
      <c r="K19" s="194"/>
      <c r="L19" s="193"/>
      <c r="M19" s="185"/>
      <c r="N19" s="185"/>
      <c r="O19" s="179"/>
      <c r="P19" s="129"/>
      <c r="Q19" s="130">
        <v>3</v>
      </c>
      <c r="R19" s="117" t="s">
        <v>158</v>
      </c>
      <c r="S19" s="124" t="s">
        <v>167</v>
      </c>
      <c r="T19" s="125" t="s">
        <v>168</v>
      </c>
      <c r="U19" s="117" t="s">
        <v>169</v>
      </c>
      <c r="V19" s="117" t="s">
        <v>170</v>
      </c>
      <c r="W19" s="117" t="s">
        <v>171</v>
      </c>
      <c r="X19" s="33" t="str">
        <f t="shared" si="4"/>
        <v>Impacto</v>
      </c>
      <c r="Y19" s="6" t="s">
        <v>133</v>
      </c>
      <c r="Z19" s="6" t="s">
        <v>84</v>
      </c>
      <c r="AA19" s="34" t="str">
        <f t="shared" si="0"/>
        <v>25%</v>
      </c>
      <c r="AB19" s="41" t="s">
        <v>85</v>
      </c>
      <c r="AC19" s="126" t="s">
        <v>164</v>
      </c>
      <c r="AD19" s="6" t="s">
        <v>87</v>
      </c>
      <c r="AE19" s="8" t="s">
        <v>88</v>
      </c>
      <c r="AF19" s="8" t="str">
        <f t="shared" si="1"/>
        <v>Formato Control de Recorrido A-GSA-FT-009</v>
      </c>
      <c r="AG19" s="35">
        <f t="shared" si="5"/>
        <v>0.216</v>
      </c>
      <c r="AH19" s="36" t="str">
        <f t="shared" si="2"/>
        <v>Baja</v>
      </c>
      <c r="AI19" s="37">
        <f t="shared" si="6"/>
        <v>0.216</v>
      </c>
      <c r="AJ19" s="38" t="str">
        <f t="shared" si="3"/>
        <v>Menor</v>
      </c>
      <c r="AK19" s="35">
        <f t="shared" si="7"/>
        <v>0.30000000000000004</v>
      </c>
      <c r="AL19" s="39" t="str">
        <f t="shared" si="8"/>
        <v>Baja - Menor</v>
      </c>
      <c r="AM19" s="40" t="str">
        <f>+VLOOKUP(AL19,Datos!$J$4:$K$28,2,)</f>
        <v>MODERADO</v>
      </c>
      <c r="AN19" s="180"/>
      <c r="AO19" s="129"/>
      <c r="AP19" s="177" t="s">
        <v>172</v>
      </c>
      <c r="AQ19" s="178" t="s">
        <v>173</v>
      </c>
      <c r="AR19" s="184" t="s">
        <v>174</v>
      </c>
      <c r="AS19" s="131"/>
      <c r="AT19" s="160">
        <v>46156</v>
      </c>
      <c r="AU19" s="164" t="s">
        <v>175</v>
      </c>
      <c r="AV19" s="182"/>
      <c r="AW19" s="168"/>
      <c r="AX19" s="171"/>
      <c r="AY19" s="132"/>
      <c r="AZ19" s="163" t="s">
        <v>176</v>
      </c>
      <c r="BA19" s="173"/>
    </row>
    <row r="20" spans="1:53" ht="353.25" customHeight="1">
      <c r="A20" s="189"/>
      <c r="B20" s="190"/>
      <c r="C20" s="191"/>
      <c r="D20" s="191"/>
      <c r="E20" s="191"/>
      <c r="F20" s="191"/>
      <c r="G20" s="192"/>
      <c r="H20" s="193"/>
      <c r="I20" s="185"/>
      <c r="J20" s="186"/>
      <c r="K20" s="194"/>
      <c r="L20" s="193"/>
      <c r="M20" s="185"/>
      <c r="N20" s="185"/>
      <c r="O20" s="179"/>
      <c r="P20" s="129"/>
      <c r="Q20" s="130">
        <v>4</v>
      </c>
      <c r="R20" s="117" t="s">
        <v>177</v>
      </c>
      <c r="S20" s="124" t="s">
        <v>167</v>
      </c>
      <c r="T20" s="125" t="s">
        <v>178</v>
      </c>
      <c r="U20" s="117" t="s">
        <v>179</v>
      </c>
      <c r="V20" s="134" t="s">
        <v>180</v>
      </c>
      <c r="W20" s="117" t="s">
        <v>181</v>
      </c>
      <c r="X20" s="33" t="str">
        <f t="shared" si="4"/>
        <v>Impacto</v>
      </c>
      <c r="Y20" s="6" t="s">
        <v>133</v>
      </c>
      <c r="Z20" s="6" t="s">
        <v>84</v>
      </c>
      <c r="AA20" s="34" t="str">
        <f t="shared" si="0"/>
        <v>25%</v>
      </c>
      <c r="AB20" s="8" t="s">
        <v>85</v>
      </c>
      <c r="AC20" s="41" t="s">
        <v>124</v>
      </c>
      <c r="AD20" s="6" t="s">
        <v>87</v>
      </c>
      <c r="AE20" s="8" t="s">
        <v>88</v>
      </c>
      <c r="AF20" s="8" t="str">
        <f t="shared" si="1"/>
        <v>Correos electrónicos</v>
      </c>
      <c r="AG20" s="35">
        <f t="shared" si="5"/>
        <v>0.216</v>
      </c>
      <c r="AH20" s="36" t="str">
        <f t="shared" si="2"/>
        <v>Baja</v>
      </c>
      <c r="AI20" s="37">
        <f t="shared" si="6"/>
        <v>0.216</v>
      </c>
      <c r="AJ20" s="38" t="str">
        <f t="shared" si="3"/>
        <v>Menor</v>
      </c>
      <c r="AK20" s="35">
        <f t="shared" si="7"/>
        <v>0.22500000000000003</v>
      </c>
      <c r="AL20" s="39" t="str">
        <f t="shared" si="8"/>
        <v>Baja - Menor</v>
      </c>
      <c r="AM20" s="40" t="str">
        <f>+VLOOKUP(AL20,Datos!$J$4:$K$28,2,)</f>
        <v>MODERADO</v>
      </c>
      <c r="AN20" s="180"/>
      <c r="AO20" s="129"/>
      <c r="AP20" s="177"/>
      <c r="AQ20" s="178"/>
      <c r="AR20" s="184"/>
      <c r="AS20" s="131"/>
      <c r="AT20" s="160">
        <v>46156</v>
      </c>
      <c r="AU20" s="164" t="s">
        <v>182</v>
      </c>
      <c r="AV20" s="183"/>
      <c r="AW20" s="169"/>
      <c r="AX20" s="172"/>
      <c r="AY20" s="132"/>
      <c r="AZ20" s="163" t="s">
        <v>183</v>
      </c>
      <c r="BA20" s="173"/>
    </row>
    <row r="21" spans="1:53" ht="93.75" customHeight="1">
      <c r="B21" s="135"/>
      <c r="C21" s="136"/>
      <c r="D21" s="136"/>
      <c r="E21" s="136"/>
      <c r="F21" s="136"/>
      <c r="G21" s="135"/>
      <c r="H21" s="135"/>
      <c r="I21" s="137"/>
      <c r="J21" s="138"/>
      <c r="K21" s="139"/>
      <c r="L21" s="135"/>
      <c r="M21" s="137"/>
      <c r="N21" s="137"/>
      <c r="O21" s="140"/>
      <c r="P21" s="2"/>
      <c r="Q21" s="141"/>
      <c r="R21" s="25"/>
      <c r="S21" s="25"/>
      <c r="T21" s="25"/>
      <c r="U21" s="25"/>
      <c r="V21" s="25"/>
      <c r="W21" s="25"/>
      <c r="X21" s="141"/>
      <c r="Y21" s="142"/>
      <c r="Z21" s="142"/>
      <c r="AA21" s="143"/>
      <c r="AB21" s="144"/>
      <c r="AC21" s="145"/>
      <c r="AD21" s="142"/>
      <c r="AE21" s="144"/>
      <c r="AF21" s="144"/>
      <c r="AG21" s="146"/>
      <c r="AH21" s="142"/>
      <c r="AI21" s="147"/>
      <c r="AJ21" s="148"/>
      <c r="AK21" s="146"/>
      <c r="AL21" s="149"/>
      <c r="AM21" s="150"/>
      <c r="AN21" s="151"/>
      <c r="AO21" s="2"/>
      <c r="AP21" s="152"/>
      <c r="AQ21" s="152"/>
      <c r="AR21" s="152"/>
      <c r="AT21" s="153"/>
      <c r="AU21" s="154"/>
      <c r="AV21" s="155"/>
      <c r="AW21" s="156"/>
      <c r="AX21" s="157"/>
      <c r="AY21" s="30"/>
      <c r="AZ21" s="155"/>
      <c r="BA21" s="158"/>
    </row>
    <row r="22" spans="1:53" ht="20.45">
      <c r="A22" s="174" t="s">
        <v>137</v>
      </c>
      <c r="B22" s="174"/>
      <c r="C22" s="174"/>
      <c r="D22" s="174"/>
      <c r="E22" s="174"/>
      <c r="F22" s="174"/>
      <c r="G22" s="174"/>
      <c r="H22" s="174"/>
      <c r="P22" s="2"/>
      <c r="BA22" s="118" t="s">
        <v>138</v>
      </c>
    </row>
    <row r="23" spans="1:53">
      <c r="P23" s="2"/>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row r="29" spans="1:53" s="1" customFormat="1">
      <c r="A29"/>
      <c r="B29"/>
      <c r="C29"/>
      <c r="D29"/>
      <c r="E29"/>
      <c r="F29"/>
      <c r="G29"/>
      <c r="H29"/>
      <c r="I29"/>
      <c r="J29"/>
      <c r="K29"/>
      <c r="P29" s="2"/>
      <c r="AN29" s="4"/>
      <c r="AO29" s="4"/>
      <c r="AP29" s="4"/>
      <c r="AS29"/>
      <c r="AT29"/>
      <c r="AU29"/>
      <c r="AV29"/>
      <c r="AW29"/>
      <c r="AX29"/>
      <c r="AY29"/>
      <c r="AZ29"/>
      <c r="BA29"/>
    </row>
    <row r="30" spans="1:53" s="1" customFormat="1">
      <c r="A30"/>
      <c r="B30"/>
      <c r="C30"/>
      <c r="D30"/>
      <c r="E30"/>
      <c r="F30"/>
      <c r="G30"/>
      <c r="H30"/>
      <c r="I30"/>
      <c r="J30"/>
      <c r="K30"/>
      <c r="P30" s="2"/>
      <c r="AN30" s="4"/>
      <c r="AO30" s="4"/>
      <c r="AP30" s="4"/>
      <c r="AS30"/>
      <c r="AT30"/>
      <c r="AU30"/>
      <c r="AV30"/>
      <c r="AW30"/>
      <c r="AX30"/>
      <c r="AY30"/>
      <c r="AZ30"/>
      <c r="BA30"/>
    </row>
  </sheetData>
  <mergeCells count="54">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14:O15"/>
    <mergeCell ref="Q14:AN14"/>
    <mergeCell ref="AP14:AR15"/>
    <mergeCell ref="AT14:AX15"/>
    <mergeCell ref="AZ14:BA15"/>
    <mergeCell ref="Y15:AA15"/>
    <mergeCell ref="AB15:AF15"/>
    <mergeCell ref="AG15:AN15"/>
    <mergeCell ref="AE16:AF16"/>
    <mergeCell ref="A17:A20"/>
    <mergeCell ref="B17:B20"/>
    <mergeCell ref="C17:C20"/>
    <mergeCell ref="D17:D20"/>
    <mergeCell ref="E17:E20"/>
    <mergeCell ref="F17:F20"/>
    <mergeCell ref="G17:G20"/>
    <mergeCell ref="H17:H20"/>
    <mergeCell ref="K17:K20"/>
    <mergeCell ref="L17:L20"/>
    <mergeCell ref="M17:M20"/>
    <mergeCell ref="N17:N20"/>
    <mergeCell ref="AB16:AC16"/>
    <mergeCell ref="AW17:AW20"/>
    <mergeCell ref="AX17:AX20"/>
    <mergeCell ref="BA17:BA20"/>
    <mergeCell ref="A22:H22"/>
    <mergeCell ref="AP17:AP18"/>
    <mergeCell ref="AQ17:AQ18"/>
    <mergeCell ref="AR17:AR18"/>
    <mergeCell ref="AP19:AP20"/>
    <mergeCell ref="AQ19:AQ20"/>
    <mergeCell ref="O17:O20"/>
    <mergeCell ref="AN17:AN20"/>
    <mergeCell ref="AV17:AV20"/>
    <mergeCell ref="AR19:AR20"/>
    <mergeCell ref="I17:I20"/>
    <mergeCell ref="J17:J20"/>
  </mergeCells>
  <conditionalFormatting sqref="H17:H21">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21">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21 AM17:AM21">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21">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21">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00000000-0004-0000-0100-000000000000}"/>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0000000}">
          <x14:formula1>
            <xm:f>Datos!$P$38:$P$39</xm:f>
          </x14:formula1>
          <xm:sqref>AE17:AE21</xm:sqref>
        </x14:dataValidation>
        <x14:dataValidation type="list" allowBlank="1" showInputMessage="1" showErrorMessage="1" xr:uid="{00000000-0002-0000-0100-000001000000}">
          <x14:formula1>
            <xm:f>Datos!$P$34:$P$35</xm:f>
          </x14:formula1>
          <xm:sqref>AD17:AD21</xm:sqref>
        </x14:dataValidation>
        <x14:dataValidation type="list" allowBlank="1" showInputMessage="1" showErrorMessage="1" xr:uid="{00000000-0002-0000-0100-000002000000}">
          <x14:formula1>
            <xm:f>Datos!$P$30:$P$31</xm:f>
          </x14:formula1>
          <xm:sqref>AB17:AB21</xm:sqref>
        </x14:dataValidation>
        <x14:dataValidation type="list" allowBlank="1" showInputMessage="1" showErrorMessage="1" xr:uid="{00000000-0002-0000-0100-000003000000}">
          <x14:formula1>
            <xm:f>Instructivo!$E$3:$E$9</xm:f>
          </x14:formula1>
          <xm:sqref>F17:F21</xm:sqref>
        </x14:dataValidation>
        <x14:dataValidation type="list" allowBlank="1" showInputMessage="1" showErrorMessage="1" xr:uid="{00000000-0002-0000-0100-000004000000}">
          <x14:formula1>
            <xm:f>Datos!$P$25:$P$26</xm:f>
          </x14:formula1>
          <xm:sqref>Z17:Z21</xm:sqref>
        </x14:dataValidation>
        <x14:dataValidation type="list" allowBlank="1" showInputMessage="1" showErrorMessage="1" xr:uid="{00000000-0002-0000-0100-000005000000}">
          <x14:formula1>
            <xm:f>Datos!$P$19:$P$22</xm:f>
          </x14:formula1>
          <xm:sqref>Y17:Y21</xm:sqref>
        </x14:dataValidation>
        <x14:dataValidation type="list" allowBlank="1" showInputMessage="1" showErrorMessage="1" xr:uid="{00000000-0002-0000-0100-000006000000}">
          <x14:formula1>
            <xm:f>Datos!$O$3:$O$15</xm:f>
          </x14:formula1>
          <xm:sqref>J17:J21</xm:sqref>
        </x14:dataValidation>
        <x14:dataValidation type="list" allowBlank="1" showInputMessage="1" showErrorMessage="1" xr:uid="{00000000-0002-0000-0100-000007000000}">
          <x14:formula1>
            <xm:f>Datos!$A$4:$A$6</xm:f>
          </x14:formula1>
          <xm:sqref>B17:B21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21" t="s">
        <v>184</v>
      </c>
      <c r="D3" t="s">
        <v>185</v>
      </c>
      <c r="G3" t="s">
        <v>186</v>
      </c>
      <c r="J3" t="s">
        <v>187</v>
      </c>
      <c r="O3" t="s">
        <v>188</v>
      </c>
      <c r="P3" t="s">
        <v>186</v>
      </c>
    </row>
    <row r="4" spans="1:17">
      <c r="A4" t="s">
        <v>189</v>
      </c>
      <c r="D4" t="s">
        <v>190</v>
      </c>
      <c r="E4" s="20">
        <v>0.2</v>
      </c>
      <c r="G4" t="s">
        <v>191</v>
      </c>
      <c r="H4" s="20">
        <v>0.2</v>
      </c>
      <c r="J4" t="s">
        <v>192</v>
      </c>
      <c r="K4" t="s">
        <v>193</v>
      </c>
      <c r="O4" t="s">
        <v>194</v>
      </c>
      <c r="P4" s="3" t="s">
        <v>195</v>
      </c>
      <c r="Q4" s="23">
        <v>0.2</v>
      </c>
    </row>
    <row r="5" spans="1:17">
      <c r="A5" t="s">
        <v>72</v>
      </c>
      <c r="D5" t="s">
        <v>196</v>
      </c>
      <c r="E5" s="20">
        <v>0.4</v>
      </c>
      <c r="G5" t="s">
        <v>197</v>
      </c>
      <c r="H5" s="20">
        <v>0.4</v>
      </c>
      <c r="J5" t="s">
        <v>198</v>
      </c>
      <c r="K5" t="s">
        <v>193</v>
      </c>
      <c r="O5" s="22" t="s">
        <v>199</v>
      </c>
      <c r="P5" s="3" t="s">
        <v>200</v>
      </c>
      <c r="Q5" s="23">
        <v>0.4</v>
      </c>
    </row>
    <row r="6" spans="1:17">
      <c r="A6" t="s">
        <v>201</v>
      </c>
      <c r="D6" t="s">
        <v>202</v>
      </c>
      <c r="E6" s="20">
        <v>0.6</v>
      </c>
      <c r="G6" t="s">
        <v>203</v>
      </c>
      <c r="H6" s="20">
        <v>0.6</v>
      </c>
      <c r="J6" t="s">
        <v>204</v>
      </c>
      <c r="K6" t="s">
        <v>203</v>
      </c>
      <c r="O6" t="s">
        <v>205</v>
      </c>
      <c r="P6" s="3" t="s">
        <v>206</v>
      </c>
      <c r="Q6" s="23">
        <v>0.6</v>
      </c>
    </row>
    <row r="7" spans="1:17">
      <c r="D7" t="s">
        <v>207</v>
      </c>
      <c r="E7" s="20">
        <v>0.8</v>
      </c>
      <c r="G7" t="s">
        <v>208</v>
      </c>
      <c r="H7" s="20">
        <v>0.8</v>
      </c>
      <c r="J7" t="s">
        <v>209</v>
      </c>
      <c r="K7" t="s">
        <v>210</v>
      </c>
      <c r="O7" t="s">
        <v>211</v>
      </c>
      <c r="P7" s="3" t="s">
        <v>212</v>
      </c>
      <c r="Q7" s="23">
        <v>0.8</v>
      </c>
    </row>
    <row r="8" spans="1:17">
      <c r="D8" t="s">
        <v>213</v>
      </c>
      <c r="E8" s="20">
        <v>1</v>
      </c>
      <c r="G8" t="s">
        <v>214</v>
      </c>
      <c r="H8" s="20">
        <v>1</v>
      </c>
      <c r="J8" t="s">
        <v>215</v>
      </c>
      <c r="K8" t="s">
        <v>216</v>
      </c>
      <c r="O8" t="s">
        <v>217</v>
      </c>
      <c r="P8" s="3" t="s">
        <v>218</v>
      </c>
      <c r="Q8" s="23">
        <v>1</v>
      </c>
    </row>
    <row r="9" spans="1:17">
      <c r="J9" t="s">
        <v>219</v>
      </c>
      <c r="K9" t="s">
        <v>193</v>
      </c>
    </row>
    <row r="10" spans="1:17">
      <c r="J10" t="s">
        <v>220</v>
      </c>
      <c r="K10" t="s">
        <v>203</v>
      </c>
      <c r="O10" t="s">
        <v>221</v>
      </c>
    </row>
    <row r="11" spans="1:17">
      <c r="J11" t="s">
        <v>222</v>
      </c>
      <c r="K11" t="s">
        <v>203</v>
      </c>
      <c r="O11" t="s">
        <v>76</v>
      </c>
      <c r="P11" s="3" t="s">
        <v>195</v>
      </c>
      <c r="Q11" s="23">
        <v>0.2</v>
      </c>
    </row>
    <row r="12" spans="1:17" ht="30.75" customHeight="1">
      <c r="J12" t="s">
        <v>223</v>
      </c>
      <c r="K12" t="s">
        <v>210</v>
      </c>
      <c r="O12" s="22" t="s">
        <v>143</v>
      </c>
      <c r="P12" s="3" t="s">
        <v>200</v>
      </c>
      <c r="Q12" s="23">
        <v>0.4</v>
      </c>
    </row>
    <row r="13" spans="1:17" ht="28.9">
      <c r="J13" t="s">
        <v>224</v>
      </c>
      <c r="K13" t="s">
        <v>216</v>
      </c>
      <c r="O13" s="22" t="s">
        <v>225</v>
      </c>
      <c r="P13" s="3" t="s">
        <v>206</v>
      </c>
      <c r="Q13" s="23">
        <v>0.6</v>
      </c>
    </row>
    <row r="14" spans="1:17" ht="28.9">
      <c r="J14" t="s">
        <v>226</v>
      </c>
      <c r="K14" t="s">
        <v>203</v>
      </c>
      <c r="O14" s="22" t="s">
        <v>227</v>
      </c>
      <c r="P14" s="3" t="s">
        <v>212</v>
      </c>
      <c r="Q14" s="23">
        <v>0.8</v>
      </c>
    </row>
    <row r="15" spans="1:17" ht="28.9">
      <c r="J15" t="s">
        <v>228</v>
      </c>
      <c r="K15" t="s">
        <v>203</v>
      </c>
      <c r="O15" s="22" t="s">
        <v>229</v>
      </c>
      <c r="P15" s="3" t="s">
        <v>218</v>
      </c>
      <c r="Q15" s="23">
        <v>1</v>
      </c>
    </row>
    <row r="16" spans="1:17">
      <c r="J16" t="s">
        <v>230</v>
      </c>
      <c r="K16" t="s">
        <v>203</v>
      </c>
    </row>
    <row r="17" spans="10:17">
      <c r="J17" t="s">
        <v>231</v>
      </c>
      <c r="K17" t="s">
        <v>210</v>
      </c>
    </row>
    <row r="18" spans="10:17">
      <c r="J18" t="s">
        <v>232</v>
      </c>
      <c r="K18" t="s">
        <v>216</v>
      </c>
    </row>
    <row r="19" spans="10:17">
      <c r="J19" t="s">
        <v>233</v>
      </c>
      <c r="K19" t="s">
        <v>203</v>
      </c>
      <c r="P19" t="s">
        <v>234</v>
      </c>
    </row>
    <row r="20" spans="10:17">
      <c r="J20" t="s">
        <v>235</v>
      </c>
      <c r="K20" t="s">
        <v>203</v>
      </c>
      <c r="P20" t="s">
        <v>83</v>
      </c>
      <c r="Q20" s="20">
        <v>0.25</v>
      </c>
    </row>
    <row r="21" spans="10:17">
      <c r="J21" t="s">
        <v>236</v>
      </c>
      <c r="K21" t="s">
        <v>210</v>
      </c>
      <c r="P21" t="s">
        <v>104</v>
      </c>
      <c r="Q21" s="20">
        <v>0.15</v>
      </c>
    </row>
    <row r="22" spans="10:17">
      <c r="J22" t="s">
        <v>237</v>
      </c>
      <c r="K22" t="s">
        <v>210</v>
      </c>
      <c r="P22" t="s">
        <v>133</v>
      </c>
      <c r="Q22" s="20">
        <v>0.1</v>
      </c>
    </row>
    <row r="23" spans="10:17">
      <c r="J23" t="s">
        <v>238</v>
      </c>
      <c r="K23" t="s">
        <v>216</v>
      </c>
    </row>
    <row r="24" spans="10:17">
      <c r="J24" t="s">
        <v>239</v>
      </c>
      <c r="K24" t="s">
        <v>210</v>
      </c>
      <c r="P24" t="s">
        <v>240</v>
      </c>
    </row>
    <row r="25" spans="10:17">
      <c r="J25" t="s">
        <v>241</v>
      </c>
      <c r="K25" t="s">
        <v>210</v>
      </c>
      <c r="P25" t="s">
        <v>114</v>
      </c>
      <c r="Q25" s="20">
        <v>0.25</v>
      </c>
    </row>
    <row r="26" spans="10:17">
      <c r="J26" t="s">
        <v>242</v>
      </c>
      <c r="K26" t="s">
        <v>210</v>
      </c>
      <c r="P26" t="s">
        <v>84</v>
      </c>
      <c r="Q26" s="20">
        <v>0.15</v>
      </c>
    </row>
    <row r="27" spans="10:17">
      <c r="J27" t="s">
        <v>243</v>
      </c>
      <c r="K27" t="s">
        <v>210</v>
      </c>
    </row>
    <row r="28" spans="10:17">
      <c r="J28" t="s">
        <v>244</v>
      </c>
      <c r="K28" t="s">
        <v>216</v>
      </c>
    </row>
    <row r="29" spans="10:17">
      <c r="P29" t="s">
        <v>245</v>
      </c>
    </row>
    <row r="30" spans="10:17">
      <c r="P30" t="s">
        <v>85</v>
      </c>
    </row>
    <row r="31" spans="10:17">
      <c r="P31" t="s">
        <v>150</v>
      </c>
    </row>
    <row r="33" spans="16:16">
      <c r="P33" t="s">
        <v>246</v>
      </c>
    </row>
    <row r="34" spans="16:16">
      <c r="P34" t="s">
        <v>87</v>
      </c>
    </row>
    <row r="35" spans="16:16">
      <c r="P35" t="s">
        <v>247</v>
      </c>
    </row>
    <row r="37" spans="16:16">
      <c r="P37" t="s">
        <v>248</v>
      </c>
    </row>
    <row r="38" spans="16:16">
      <c r="P38" t="s">
        <v>88</v>
      </c>
    </row>
    <row r="39" spans="16:16">
      <c r="P39" t="s">
        <v>249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77"/>
  <sheetViews>
    <sheetView topLeftCell="B41" zoomScale="80" zoomScaleNormal="80" workbookViewId="0">
      <selection activeCell="E56" sqref="E56"/>
    </sheetView>
  </sheetViews>
  <sheetFormatPr defaultColWidth="11.42578125" defaultRowHeight="14.45"/>
  <cols>
    <col min="2" max="2" width="15" customWidth="1"/>
    <col min="3" max="3" width="17.42578125" bestFit="1" customWidth="1"/>
    <col min="4" max="4" width="29.42578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3" t="s">
        <v>250</v>
      </c>
      <c r="F2" s="73" t="s">
        <v>251</v>
      </c>
    </row>
    <row r="3" spans="1:12" ht="43.15">
      <c r="E3" s="72" t="s">
        <v>252</v>
      </c>
      <c r="F3" s="71" t="s">
        <v>253</v>
      </c>
    </row>
    <row r="4" spans="1:12" ht="43.15">
      <c r="E4" s="72" t="s">
        <v>254</v>
      </c>
      <c r="F4" s="71" t="s">
        <v>255</v>
      </c>
    </row>
    <row r="5" spans="1:12" ht="144">
      <c r="E5" s="72" t="s">
        <v>256</v>
      </c>
      <c r="F5" s="71" t="s">
        <v>257</v>
      </c>
    </row>
    <row r="6" spans="1:12" ht="43.15">
      <c r="E6" s="72" t="s">
        <v>258</v>
      </c>
      <c r="F6" s="71" t="s">
        <v>259</v>
      </c>
    </row>
    <row r="7" spans="1:12" ht="72">
      <c r="E7" s="72" t="s">
        <v>260</v>
      </c>
      <c r="F7" s="71" t="s">
        <v>261</v>
      </c>
    </row>
    <row r="8" spans="1:12" ht="57.6">
      <c r="E8" s="72" t="s">
        <v>262</v>
      </c>
      <c r="F8" s="71" t="s">
        <v>263</v>
      </c>
    </row>
    <row r="9" spans="1:12" ht="72">
      <c r="E9" s="72" t="s">
        <v>264</v>
      </c>
      <c r="F9" s="71" t="s">
        <v>265</v>
      </c>
    </row>
    <row r="11" spans="1:12">
      <c r="B11" s="303" t="s">
        <v>266</v>
      </c>
      <c r="C11" s="303"/>
      <c r="D11" s="303"/>
      <c r="E11" s="303"/>
      <c r="F11" s="303"/>
      <c r="G11" s="303"/>
      <c r="H11" s="303"/>
      <c r="I11" s="303"/>
      <c r="J11" s="303"/>
      <c r="K11" s="303"/>
      <c r="L11" s="303"/>
    </row>
    <row r="12" spans="1:12">
      <c r="B12" s="303"/>
      <c r="C12" s="303"/>
      <c r="D12" s="303"/>
      <c r="E12" s="303"/>
      <c r="F12" s="303"/>
      <c r="G12" s="303"/>
      <c r="H12" s="303"/>
      <c r="I12" s="303"/>
      <c r="J12" s="303"/>
      <c r="K12" s="303"/>
      <c r="L12" s="303"/>
    </row>
    <row r="13" spans="1:12" ht="23.45">
      <c r="B13" s="304" t="s">
        <v>267</v>
      </c>
      <c r="C13" s="304"/>
      <c r="D13" s="304"/>
      <c r="E13" s="304"/>
      <c r="F13" s="304"/>
      <c r="G13" s="304"/>
      <c r="H13" s="304"/>
      <c r="I13" s="304"/>
      <c r="J13" s="304"/>
      <c r="K13" s="304"/>
      <c r="L13" s="304"/>
    </row>
    <row r="15" spans="1:12" ht="28.9">
      <c r="A15" s="42" t="s">
        <v>268</v>
      </c>
      <c r="B15" s="43">
        <v>1</v>
      </c>
      <c r="C15" s="289" t="s">
        <v>269</v>
      </c>
      <c r="D15" s="290"/>
      <c r="E15" s="290"/>
      <c r="F15" s="290"/>
      <c r="G15" s="290"/>
      <c r="H15" s="290"/>
      <c r="I15" s="290"/>
      <c r="J15" s="290"/>
      <c r="K15" s="290"/>
      <c r="L15" s="290"/>
    </row>
    <row r="16" spans="1:12" ht="18.600000000000001" thickBot="1">
      <c r="C16" s="281"/>
      <c r="D16" s="282"/>
      <c r="E16" s="282"/>
      <c r="F16" s="282"/>
      <c r="G16" s="282"/>
      <c r="H16" s="282"/>
      <c r="I16" s="282"/>
      <c r="J16" s="282"/>
      <c r="K16" s="282"/>
      <c r="L16" s="282"/>
    </row>
    <row r="17" spans="1:12" ht="18.600000000000001" thickBot="1">
      <c r="B17" s="305" t="s">
        <v>270</v>
      </c>
      <c r="C17" s="306"/>
      <c r="D17" s="306"/>
      <c r="E17" s="306"/>
      <c r="F17" s="307"/>
      <c r="G17" s="44"/>
      <c r="H17" s="305" t="s">
        <v>271</v>
      </c>
      <c r="I17" s="308"/>
      <c r="J17" s="308"/>
      <c r="K17" s="308"/>
      <c r="L17" s="309"/>
    </row>
    <row r="18" spans="1:12" ht="23.45">
      <c r="B18" s="45" t="s">
        <v>272</v>
      </c>
      <c r="C18" s="295" t="s">
        <v>55</v>
      </c>
      <c r="D18" s="296"/>
      <c r="E18" s="296"/>
      <c r="F18" s="297"/>
      <c r="G18" s="44"/>
      <c r="H18" s="45" t="s">
        <v>272</v>
      </c>
      <c r="I18" s="298" t="s">
        <v>55</v>
      </c>
      <c r="J18" s="298"/>
      <c r="K18" s="298"/>
      <c r="L18" s="299"/>
    </row>
    <row r="19" spans="1:12" ht="18">
      <c r="B19" s="46">
        <v>100</v>
      </c>
      <c r="C19" s="47" t="s">
        <v>213</v>
      </c>
      <c r="D19" s="300" t="s">
        <v>273</v>
      </c>
      <c r="E19" s="301"/>
      <c r="F19" s="302"/>
      <c r="G19" s="48"/>
      <c r="H19" s="46">
        <v>100</v>
      </c>
      <c r="I19" s="47" t="s">
        <v>274</v>
      </c>
      <c r="J19" s="300" t="s">
        <v>275</v>
      </c>
      <c r="K19" s="301"/>
      <c r="L19" s="302"/>
    </row>
    <row r="20" spans="1:12" ht="18">
      <c r="B20" s="46">
        <v>80</v>
      </c>
      <c r="C20" s="49" t="s">
        <v>207</v>
      </c>
      <c r="D20" s="283" t="s">
        <v>276</v>
      </c>
      <c r="E20" s="284"/>
      <c r="F20" s="285"/>
      <c r="G20" s="48"/>
      <c r="H20" s="46">
        <v>80</v>
      </c>
      <c r="I20" s="49" t="s">
        <v>277</v>
      </c>
      <c r="J20" s="283" t="s">
        <v>278</v>
      </c>
      <c r="K20" s="284"/>
      <c r="L20" s="285"/>
    </row>
    <row r="21" spans="1:12" ht="18">
      <c r="B21" s="46">
        <v>60</v>
      </c>
      <c r="C21" s="50" t="s">
        <v>202</v>
      </c>
      <c r="D21" s="283" t="s">
        <v>279</v>
      </c>
      <c r="E21" s="284"/>
      <c r="F21" s="285"/>
      <c r="G21" s="48"/>
      <c r="H21" s="46">
        <v>60</v>
      </c>
      <c r="I21" s="50" t="s">
        <v>280</v>
      </c>
      <c r="J21" s="283" t="s">
        <v>281</v>
      </c>
      <c r="K21" s="284"/>
      <c r="L21" s="285"/>
    </row>
    <row r="22" spans="1:12" ht="18">
      <c r="B22" s="46">
        <v>40</v>
      </c>
      <c r="C22" s="51" t="s">
        <v>196</v>
      </c>
      <c r="D22" s="283" t="s">
        <v>282</v>
      </c>
      <c r="E22" s="284"/>
      <c r="F22" s="285"/>
      <c r="G22" s="48"/>
      <c r="H22" s="46">
        <v>40</v>
      </c>
      <c r="I22" s="51" t="s">
        <v>283</v>
      </c>
      <c r="J22" s="283" t="s">
        <v>284</v>
      </c>
      <c r="K22" s="284"/>
      <c r="L22" s="285"/>
    </row>
    <row r="23" spans="1:12" ht="18.600000000000001" thickBot="1">
      <c r="B23" s="52">
        <v>20</v>
      </c>
      <c r="C23" s="53" t="s">
        <v>190</v>
      </c>
      <c r="D23" s="286" t="s">
        <v>285</v>
      </c>
      <c r="E23" s="287"/>
      <c r="F23" s="288"/>
      <c r="G23" s="48"/>
      <c r="H23" s="52">
        <v>20</v>
      </c>
      <c r="I23" s="53" t="s">
        <v>286</v>
      </c>
      <c r="J23" s="286" t="s">
        <v>287</v>
      </c>
      <c r="K23" s="287"/>
      <c r="L23" s="288"/>
    </row>
    <row r="24" spans="1:12">
      <c r="B24" s="44" t="s">
        <v>288</v>
      </c>
      <c r="C24" s="44"/>
      <c r="D24" s="44"/>
      <c r="E24" s="44"/>
      <c r="F24" s="44"/>
      <c r="G24" s="44"/>
      <c r="H24" s="44" t="s">
        <v>288</v>
      </c>
      <c r="I24" s="44"/>
      <c r="J24" s="44"/>
      <c r="K24" s="44"/>
      <c r="L24" s="44"/>
    </row>
    <row r="27" spans="1:12" ht="28.9">
      <c r="A27" s="42" t="s">
        <v>268</v>
      </c>
      <c r="B27" s="43">
        <v>2</v>
      </c>
      <c r="C27" s="289" t="s">
        <v>186</v>
      </c>
      <c r="D27" s="290"/>
      <c r="E27" s="290"/>
      <c r="F27" s="290"/>
      <c r="G27" s="290"/>
      <c r="H27" s="290"/>
      <c r="I27" s="290"/>
      <c r="J27" s="290"/>
      <c r="K27" s="290"/>
      <c r="L27" s="290"/>
    </row>
    <row r="28" spans="1:12">
      <c r="B28" s="44"/>
      <c r="C28" s="44"/>
      <c r="D28" s="44"/>
      <c r="E28" s="44"/>
      <c r="F28" s="44"/>
      <c r="G28" s="44"/>
      <c r="H28" s="44"/>
      <c r="I28" s="44"/>
      <c r="J28" s="44"/>
      <c r="K28" s="54"/>
      <c r="L28" s="54"/>
    </row>
    <row r="29" spans="1:12" ht="18">
      <c r="B29" s="291" t="s">
        <v>289</v>
      </c>
      <c r="C29" s="292"/>
      <c r="D29" s="292"/>
      <c r="E29" s="292"/>
      <c r="F29" s="292"/>
      <c r="G29" s="292"/>
      <c r="H29" s="292"/>
      <c r="I29" s="292"/>
      <c r="J29" s="292"/>
      <c r="K29" s="293"/>
      <c r="L29" s="54"/>
    </row>
    <row r="30" spans="1:12" ht="17.45">
      <c r="B30" s="294" t="s">
        <v>290</v>
      </c>
      <c r="C30" s="294"/>
      <c r="D30" s="294" t="s">
        <v>291</v>
      </c>
      <c r="E30" s="294"/>
      <c r="F30" s="294" t="s">
        <v>72</v>
      </c>
      <c r="G30" s="294"/>
      <c r="H30" s="294"/>
      <c r="I30" s="294"/>
      <c r="J30" s="294"/>
      <c r="K30" s="294"/>
    </row>
    <row r="31" spans="1:12" ht="18">
      <c r="B31" s="55">
        <v>100</v>
      </c>
      <c r="C31" s="56" t="s">
        <v>218</v>
      </c>
      <c r="D31" s="280" t="s">
        <v>292</v>
      </c>
      <c r="E31" s="280"/>
      <c r="F31" s="280" t="s">
        <v>229</v>
      </c>
      <c r="G31" s="280"/>
      <c r="H31" s="280"/>
      <c r="I31" s="280"/>
      <c r="J31" s="280"/>
      <c r="K31" s="280"/>
    </row>
    <row r="32" spans="1:12" ht="18">
      <c r="B32" s="55">
        <v>80</v>
      </c>
      <c r="C32" s="57" t="s">
        <v>212</v>
      </c>
      <c r="D32" s="280" t="s">
        <v>293</v>
      </c>
      <c r="E32" s="280"/>
      <c r="F32" s="280" t="s">
        <v>294</v>
      </c>
      <c r="G32" s="280"/>
      <c r="H32" s="280"/>
      <c r="I32" s="280"/>
      <c r="J32" s="280"/>
      <c r="K32" s="280"/>
    </row>
    <row r="33" spans="1:26" ht="18">
      <c r="B33" s="55">
        <v>60</v>
      </c>
      <c r="C33" s="58" t="s">
        <v>206</v>
      </c>
      <c r="D33" s="280" t="s">
        <v>295</v>
      </c>
      <c r="E33" s="280"/>
      <c r="F33" s="280" t="s">
        <v>296</v>
      </c>
      <c r="G33" s="280"/>
      <c r="H33" s="280"/>
      <c r="I33" s="280"/>
      <c r="J33" s="280"/>
      <c r="K33" s="280"/>
    </row>
    <row r="34" spans="1:26" ht="18">
      <c r="B34" s="55">
        <v>40</v>
      </c>
      <c r="C34" s="59" t="s">
        <v>200</v>
      </c>
      <c r="D34" s="280" t="s">
        <v>297</v>
      </c>
      <c r="E34" s="280"/>
      <c r="F34" s="280" t="s">
        <v>298</v>
      </c>
      <c r="G34" s="280"/>
      <c r="H34" s="280"/>
      <c r="I34" s="280"/>
      <c r="J34" s="280"/>
      <c r="K34" s="280"/>
    </row>
    <row r="35" spans="1:26" ht="18">
      <c r="B35" s="55">
        <v>20</v>
      </c>
      <c r="C35" s="60" t="s">
        <v>195</v>
      </c>
      <c r="D35" s="280" t="s">
        <v>299</v>
      </c>
      <c r="E35" s="280"/>
      <c r="F35" s="280" t="s">
        <v>76</v>
      </c>
      <c r="G35" s="280"/>
      <c r="H35" s="280"/>
      <c r="I35" s="280"/>
      <c r="J35" s="280"/>
      <c r="K35" s="280"/>
    </row>
    <row r="38" spans="1:26" ht="28.9">
      <c r="A38" s="42" t="s">
        <v>268</v>
      </c>
      <c r="B38" s="43"/>
      <c r="C38" s="281" t="s">
        <v>300</v>
      </c>
      <c r="D38" s="282"/>
      <c r="E38" s="282"/>
      <c r="F38" s="282"/>
      <c r="G38" s="282"/>
      <c r="H38" s="282"/>
      <c r="I38" s="282"/>
      <c r="J38" s="282"/>
      <c r="K38" s="282"/>
      <c r="L38" s="282"/>
      <c r="X38" s="5"/>
      <c r="Y38" s="61"/>
    </row>
    <row r="39" spans="1:26">
      <c r="X39" s="5"/>
      <c r="Y39" s="61"/>
    </row>
    <row r="40" spans="1:26" ht="151.15" thickBot="1">
      <c r="B40" s="62" t="s">
        <v>301</v>
      </c>
      <c r="C40" s="63" t="s">
        <v>302</v>
      </c>
      <c r="D40" s="63" t="s">
        <v>303</v>
      </c>
      <c r="E40" s="62" t="s">
        <v>304</v>
      </c>
      <c r="F40" s="62" t="s">
        <v>305</v>
      </c>
      <c r="G40" s="62" t="s">
        <v>306</v>
      </c>
      <c r="H40" s="62" t="s">
        <v>307</v>
      </c>
      <c r="I40" s="62" t="s">
        <v>308</v>
      </c>
      <c r="J40" s="62" t="s">
        <v>309</v>
      </c>
      <c r="K40" s="62" t="s">
        <v>310</v>
      </c>
      <c r="L40" s="62" t="s">
        <v>311</v>
      </c>
      <c r="M40" s="62" t="s">
        <v>312</v>
      </c>
      <c r="N40" s="62" t="s">
        <v>313</v>
      </c>
      <c r="O40" s="62" t="s">
        <v>314</v>
      </c>
      <c r="P40" s="62" t="s">
        <v>315</v>
      </c>
      <c r="Q40" s="62" t="s">
        <v>316</v>
      </c>
      <c r="R40" s="62" t="s">
        <v>317</v>
      </c>
      <c r="S40" s="62" t="s">
        <v>318</v>
      </c>
      <c r="T40" s="62" t="s">
        <v>319</v>
      </c>
      <c r="U40" s="62" t="s">
        <v>320</v>
      </c>
      <c r="V40" s="62" t="s">
        <v>321</v>
      </c>
      <c r="W40" s="62" t="s">
        <v>322</v>
      </c>
      <c r="X40" s="64" t="s">
        <v>323</v>
      </c>
      <c r="Y40" s="65" t="s">
        <v>324</v>
      </c>
      <c r="Z40" s="65" t="s">
        <v>324</v>
      </c>
    </row>
    <row r="41" spans="1:26" ht="15">
      <c r="B41" s="66"/>
      <c r="C41" s="67"/>
      <c r="D41" s="67"/>
      <c r="E41" s="66"/>
      <c r="F41" s="66"/>
      <c r="G41" s="66"/>
      <c r="H41" s="66"/>
      <c r="I41" s="66"/>
      <c r="J41" s="66"/>
      <c r="K41" s="66"/>
      <c r="L41" s="66"/>
      <c r="M41" s="66"/>
      <c r="N41" s="66"/>
      <c r="O41" s="66"/>
      <c r="P41" s="66"/>
      <c r="Q41" s="66"/>
      <c r="R41" s="66"/>
      <c r="S41" s="66"/>
      <c r="T41" s="66"/>
      <c r="U41" s="66"/>
      <c r="V41" s="66"/>
      <c r="W41" s="66"/>
      <c r="X41" s="68">
        <f>COUNTIF(E41:W41,"SI")</f>
        <v>0</v>
      </c>
      <c r="Y41" s="69" t="str">
        <f>IF(OR(T41="SI",X41&gt;11),"100",IF(X41&gt;5,"80",IF(X41&gt;0,"60","")))</f>
        <v/>
      </c>
      <c r="Z41" s="70" t="str">
        <f>IF(OR(T41="SI",X41&gt;11),"CATASTRÓFICO",IF(X41&gt;5,"MAYOR",IF(X41&gt;0,"MODERADO","")))</f>
        <v/>
      </c>
    </row>
    <row r="45" spans="1:26" ht="23.45">
      <c r="A45" s="275" t="s">
        <v>325</v>
      </c>
      <c r="B45" s="275"/>
      <c r="C45" s="275"/>
      <c r="D45" s="275"/>
      <c r="E45" s="275"/>
      <c r="F45" s="275"/>
      <c r="G45" s="275"/>
      <c r="H45" s="275"/>
      <c r="I45" s="275"/>
      <c r="J45" s="275"/>
    </row>
    <row r="46" spans="1:26">
      <c r="C46" s="21"/>
      <c r="D46" s="5"/>
      <c r="E46" s="5"/>
      <c r="F46" s="5"/>
      <c r="G46" s="5"/>
      <c r="H46" s="5"/>
    </row>
    <row r="47" spans="1:26" ht="15.6">
      <c r="B47" s="267" t="s">
        <v>269</v>
      </c>
      <c r="C47" s="83" t="s">
        <v>213</v>
      </c>
      <c r="D47" s="86"/>
      <c r="E47" s="97"/>
      <c r="F47" s="87"/>
      <c r="G47" s="97"/>
      <c r="H47" s="88"/>
      <c r="J47" s="278" t="s">
        <v>326</v>
      </c>
    </row>
    <row r="48" spans="1:26" ht="15.6">
      <c r="B48" s="267"/>
      <c r="C48" s="84">
        <v>1</v>
      </c>
      <c r="D48" s="89"/>
      <c r="E48" s="98"/>
      <c r="F48" s="82"/>
      <c r="G48" s="98"/>
      <c r="H48" s="90"/>
      <c r="J48" s="279"/>
    </row>
    <row r="49" spans="2:10" ht="15.6">
      <c r="B49" s="267"/>
      <c r="C49" s="83" t="s">
        <v>207</v>
      </c>
      <c r="D49" s="103"/>
      <c r="E49" s="104"/>
      <c r="F49" s="87"/>
      <c r="G49" s="97"/>
      <c r="H49" s="88"/>
      <c r="J49" s="268" t="s">
        <v>216</v>
      </c>
    </row>
    <row r="50" spans="2:10" ht="15.6">
      <c r="B50" s="267"/>
      <c r="C50" s="84">
        <v>0.8</v>
      </c>
      <c r="D50" s="105"/>
      <c r="E50" s="106"/>
      <c r="F50" s="95"/>
      <c r="G50" s="102"/>
      <c r="H50" s="96"/>
      <c r="J50" s="269"/>
    </row>
    <row r="51" spans="2:10" ht="15.6">
      <c r="B51" s="267"/>
      <c r="C51" s="83" t="s">
        <v>202</v>
      </c>
      <c r="D51" s="91"/>
      <c r="E51" s="99"/>
      <c r="F51" s="81"/>
      <c r="G51" s="98"/>
      <c r="H51" s="90"/>
      <c r="J51" s="270" t="s">
        <v>210</v>
      </c>
    </row>
    <row r="52" spans="2:10" ht="15.6">
      <c r="B52" s="267"/>
      <c r="C52" s="84">
        <v>0.6</v>
      </c>
      <c r="D52" s="91"/>
      <c r="E52" s="99"/>
      <c r="F52" s="81"/>
      <c r="G52" s="98"/>
      <c r="H52" s="90"/>
      <c r="J52" s="271"/>
    </row>
    <row r="53" spans="2:10" ht="15.6">
      <c r="B53" s="267"/>
      <c r="C53" s="83" t="s">
        <v>196</v>
      </c>
      <c r="D53" s="107"/>
      <c r="E53" s="104"/>
      <c r="F53" s="108"/>
      <c r="G53" s="97"/>
      <c r="H53" s="88"/>
      <c r="J53" s="272" t="s">
        <v>203</v>
      </c>
    </row>
    <row r="54" spans="2:10" ht="15.6">
      <c r="B54" s="267"/>
      <c r="C54" s="84">
        <v>0.4</v>
      </c>
      <c r="D54" s="93"/>
      <c r="E54" s="106"/>
      <c r="F54" s="94"/>
      <c r="G54" s="102"/>
      <c r="H54" s="96"/>
      <c r="J54" s="273"/>
    </row>
    <row r="55" spans="2:10" ht="15.6">
      <c r="B55" s="267"/>
      <c r="C55" s="85" t="s">
        <v>190</v>
      </c>
      <c r="D55" s="92"/>
      <c r="E55" s="100"/>
      <c r="F55" s="81"/>
      <c r="G55" s="98"/>
      <c r="H55" s="90"/>
      <c r="J55" s="276" t="s">
        <v>193</v>
      </c>
    </row>
    <row r="56" spans="2:10" ht="15.6">
      <c r="B56" s="267"/>
      <c r="C56" s="84">
        <v>0.2</v>
      </c>
      <c r="D56" s="93"/>
      <c r="E56" s="101"/>
      <c r="F56" s="94"/>
      <c r="G56" s="102"/>
      <c r="H56" s="96"/>
      <c r="J56" s="277"/>
    </row>
    <row r="57" spans="2:10" ht="17.45">
      <c r="D57" s="74" t="s">
        <v>195</v>
      </c>
      <c r="E57" s="78" t="s">
        <v>200</v>
      </c>
      <c r="F57" s="78" t="s">
        <v>206</v>
      </c>
      <c r="G57" s="80" t="s">
        <v>212</v>
      </c>
      <c r="H57" s="75" t="s">
        <v>218</v>
      </c>
    </row>
    <row r="58" spans="2:10">
      <c r="D58" s="76">
        <v>0.2</v>
      </c>
      <c r="E58" s="79">
        <v>0.4</v>
      </c>
      <c r="F58" s="79">
        <v>0.6</v>
      </c>
      <c r="G58" s="79">
        <v>0.8</v>
      </c>
      <c r="H58" s="77">
        <v>1</v>
      </c>
    </row>
    <row r="59" spans="2:10" ht="23.45">
      <c r="D59" s="274" t="s">
        <v>186</v>
      </c>
      <c r="E59" s="274"/>
      <c r="F59" s="274"/>
      <c r="G59" s="274"/>
      <c r="H59" s="274"/>
    </row>
    <row r="63" spans="2:10">
      <c r="D63" s="265" t="s">
        <v>327</v>
      </c>
      <c r="E63" s="265"/>
      <c r="F63" s="265"/>
    </row>
    <row r="64" spans="2:10">
      <c r="D64" s="110" t="s">
        <v>328</v>
      </c>
      <c r="E64" s="110" t="s">
        <v>329</v>
      </c>
      <c r="F64" s="110" t="s">
        <v>330</v>
      </c>
    </row>
    <row r="65" spans="4:6" ht="86.45">
      <c r="D65" s="109" t="s">
        <v>331</v>
      </c>
      <c r="E65" s="71" t="s">
        <v>332</v>
      </c>
      <c r="F65" s="71" t="s">
        <v>333</v>
      </c>
    </row>
    <row r="66" spans="4:6" ht="57.6">
      <c r="D66" s="109" t="s">
        <v>334</v>
      </c>
      <c r="E66" s="71" t="s">
        <v>335</v>
      </c>
      <c r="F66" s="109" t="s">
        <v>336</v>
      </c>
    </row>
    <row r="67" spans="4:6" ht="57.6">
      <c r="D67" s="109" t="s">
        <v>337</v>
      </c>
      <c r="E67" s="109" t="s">
        <v>338</v>
      </c>
      <c r="F67" s="109" t="s">
        <v>339</v>
      </c>
    </row>
    <row r="69" spans="4:6" ht="30" customHeight="1">
      <c r="D69" s="72" t="s">
        <v>340</v>
      </c>
      <c r="E69" s="266" t="s">
        <v>341</v>
      </c>
      <c r="F69" s="266"/>
    </row>
    <row r="70" spans="4:6" ht="30" customHeight="1">
      <c r="D70" s="72" t="s">
        <v>342</v>
      </c>
      <c r="E70" s="266" t="s">
        <v>343</v>
      </c>
      <c r="F70" s="266"/>
    </row>
    <row r="73" spans="4:6">
      <c r="E73" s="111" t="s">
        <v>326</v>
      </c>
      <c r="F73" s="111" t="s">
        <v>344</v>
      </c>
    </row>
    <row r="74" spans="4:6" ht="28.9">
      <c r="E74" s="112" t="s">
        <v>345</v>
      </c>
      <c r="F74" s="113" t="s">
        <v>346</v>
      </c>
    </row>
    <row r="75" spans="4:6" ht="28.9">
      <c r="E75" s="114" t="s">
        <v>347</v>
      </c>
      <c r="F75" s="113" t="s">
        <v>348</v>
      </c>
    </row>
    <row r="76" spans="4:6" ht="28.9">
      <c r="E76" s="115" t="s">
        <v>207</v>
      </c>
      <c r="F76" s="113" t="s">
        <v>348</v>
      </c>
    </row>
    <row r="77" spans="4:6" ht="28.9">
      <c r="E77" s="116" t="s">
        <v>349</v>
      </c>
      <c r="F77" s="113" t="s">
        <v>348</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SharedWithUsers xmlns="d8efec78-3424-4c97-abf4-c2ff1d9e6d03">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4B51BE-A95C-4882-99ED-5A507A0A03D1}"/>
</file>

<file path=customXml/itemProps2.xml><?xml version="1.0" encoding="utf-8"?>
<ds:datastoreItem xmlns:ds="http://schemas.openxmlformats.org/officeDocument/2006/customXml" ds:itemID="{A168E1FF-41B3-49C0-81B2-2BD906D802CA}"/>
</file>

<file path=customXml/itemProps3.xml><?xml version="1.0" encoding="utf-8"?>
<ds:datastoreItem xmlns:ds="http://schemas.openxmlformats.org/officeDocument/2006/customXml" ds:itemID="{88C3875F-7073-4C85-9AA1-BD9CCEC913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Willington Granados Herrera</cp:lastModifiedBy>
  <cp:revision/>
  <dcterms:created xsi:type="dcterms:W3CDTF">2021-05-10T15:52:34Z</dcterms:created>
  <dcterms:modified xsi:type="dcterms:W3CDTF">2026-05-27T20:00:13Z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14942400</vt:r8>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ies>
</file>